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ministryforenvironment.sharepoint.com/sites/ECM-ER-Comms/Shared Documents/06 - Publications management/Climate/Measuring Emissions Guidance 24/Finals/Corrections 30 July/"/>
    </mc:Choice>
  </mc:AlternateContent>
  <xr:revisionPtr revIDLastSave="0" documentId="8_{17E9FAC9-1809-4172-8354-1223BE7A958A}" xr6:coauthVersionLast="47" xr6:coauthVersionMax="47" xr10:uidLastSave="{00000000-0000-0000-0000-000000000000}"/>
  <bookViews>
    <workbookView xWindow="1530" yWindow="1665" windowWidth="21600" windowHeight="11385" tabRatio="998" xr2:uid="{00000000-000D-0000-FFFF-FFFF00000000}"/>
  </bookViews>
  <sheets>
    <sheet name="Intro" sheetId="11" r:id="rId1"/>
    <sheet name="Summary Sheet" sheetId="12" r:id="rId2"/>
    <sheet name="Fuel" sheetId="14" r:id="rId3"/>
    <sheet name="T&amp;D losses" sheetId="15" r:id="rId4"/>
    <sheet name="Purchased energy" sheetId="16" r:id="rId5"/>
    <sheet name="Working from home" sheetId="17" r:id="rId6"/>
    <sheet name="Refrigerants &amp; other gases" sheetId="18" r:id="rId7"/>
    <sheet name="Travel" sheetId="19" r:id="rId8"/>
    <sheet name="Freight transport" sheetId="20" r:id="rId9"/>
    <sheet name="Wastewater treatment" sheetId="21" r:id="rId10"/>
    <sheet name="Waste" sheetId="22" r:id="rId11"/>
    <sheet name="Agriculture Forestry &amp; other" sheetId="23" r:id="rId12"/>
    <sheet name="Conversions" sheetId="13"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9" i="19" l="1"/>
  <c r="E283" i="19"/>
  <c r="F21" i="12"/>
  <c r="E21" i="12"/>
  <c r="D21" i="12"/>
  <c r="E55" i="14" l="1"/>
  <c r="F68" i="14"/>
  <c r="F67" i="14"/>
  <c r="F48" i="14"/>
  <c r="F64" i="14"/>
  <c r="F47" i="14"/>
  <c r="F63" i="14"/>
  <c r="F46" i="14"/>
  <c r="G62" i="14"/>
  <c r="F76" i="14" l="1"/>
  <c r="F10" i="14" s="1"/>
  <c r="H96" i="23" l="1"/>
  <c r="G96" i="23"/>
  <c r="F96" i="23"/>
  <c r="E96" i="23"/>
  <c r="H95" i="23"/>
  <c r="G95" i="23"/>
  <c r="F95" i="23"/>
  <c r="E95" i="23"/>
  <c r="H94" i="23"/>
  <c r="G94" i="23"/>
  <c r="F94" i="23"/>
  <c r="E94" i="23" s="1"/>
  <c r="H93" i="23"/>
  <c r="G93" i="23"/>
  <c r="F93" i="23"/>
  <c r="E93" i="23" s="1"/>
  <c r="H92" i="23"/>
  <c r="G92" i="23"/>
  <c r="F92" i="23"/>
  <c r="E92" i="23"/>
  <c r="H91" i="23"/>
  <c r="G91" i="23"/>
  <c r="F91" i="23"/>
  <c r="E91" i="23" s="1"/>
  <c r="H90" i="23"/>
  <c r="G90" i="23"/>
  <c r="F90" i="23"/>
  <c r="E90" i="23" s="1"/>
  <c r="H89" i="23"/>
  <c r="G89" i="23"/>
  <c r="F89" i="23"/>
  <c r="E89" i="23"/>
  <c r="H88" i="23"/>
  <c r="G88" i="23"/>
  <c r="F88" i="23"/>
  <c r="E88" i="23" s="1"/>
  <c r="H87" i="23"/>
  <c r="G87" i="23"/>
  <c r="F87" i="23"/>
  <c r="E87" i="23" s="1"/>
  <c r="H86" i="23"/>
  <c r="G86" i="23"/>
  <c r="F86" i="23"/>
  <c r="E86" i="23" s="1"/>
  <c r="H85" i="23"/>
  <c r="G85" i="23"/>
  <c r="F85" i="23"/>
  <c r="E85" i="23" s="1"/>
  <c r="H84" i="23"/>
  <c r="G84" i="23"/>
  <c r="F84" i="23"/>
  <c r="E84" i="23"/>
  <c r="H83" i="23"/>
  <c r="G83" i="23"/>
  <c r="F83" i="23"/>
  <c r="H82" i="23"/>
  <c r="G82" i="23"/>
  <c r="F82" i="23"/>
  <c r="E82" i="23" s="1"/>
  <c r="H81" i="23"/>
  <c r="G81" i="23"/>
  <c r="F81" i="23"/>
  <c r="E81" i="23"/>
  <c r="H80" i="23"/>
  <c r="G80" i="23"/>
  <c r="F80" i="23"/>
  <c r="E80" i="23" s="1"/>
  <c r="H79" i="23"/>
  <c r="G79" i="23"/>
  <c r="F79" i="23"/>
  <c r="E79" i="23" s="1"/>
  <c r="H78" i="23"/>
  <c r="G78" i="23"/>
  <c r="F78" i="23"/>
  <c r="E78" i="23" s="1"/>
  <c r="H77" i="23"/>
  <c r="G77" i="23"/>
  <c r="F77" i="23"/>
  <c r="E77" i="23" s="1"/>
  <c r="H76" i="23"/>
  <c r="G76" i="23"/>
  <c r="F76" i="23"/>
  <c r="E76" i="23" s="1"/>
  <c r="H75" i="23"/>
  <c r="G75" i="23"/>
  <c r="F75" i="23"/>
  <c r="E75" i="23" s="1"/>
  <c r="H74" i="23"/>
  <c r="G74" i="23"/>
  <c r="F74" i="23"/>
  <c r="E74" i="23" s="1"/>
  <c r="H73" i="23"/>
  <c r="G73" i="23"/>
  <c r="F73" i="23"/>
  <c r="E73" i="23" s="1"/>
  <c r="H72" i="23"/>
  <c r="G72" i="23"/>
  <c r="F72" i="23"/>
  <c r="E72" i="23"/>
  <c r="H71" i="23"/>
  <c r="G71" i="23"/>
  <c r="F71" i="23"/>
  <c r="H70" i="23"/>
  <c r="G70" i="23"/>
  <c r="F70" i="23"/>
  <c r="H69" i="23"/>
  <c r="G69" i="23"/>
  <c r="F69" i="23"/>
  <c r="E69" i="23"/>
  <c r="H68" i="23"/>
  <c r="G68" i="23"/>
  <c r="F68" i="23"/>
  <c r="E68" i="23"/>
  <c r="H67" i="23"/>
  <c r="G67" i="23"/>
  <c r="F67" i="23"/>
  <c r="H66" i="23"/>
  <c r="G66" i="23"/>
  <c r="F66" i="23"/>
  <c r="E66" i="23"/>
  <c r="H65" i="23"/>
  <c r="G65" i="23"/>
  <c r="F65" i="23"/>
  <c r="E65" i="23" s="1"/>
  <c r="H64" i="23"/>
  <c r="G64" i="23"/>
  <c r="F64" i="23"/>
  <c r="H63" i="23"/>
  <c r="G63" i="23"/>
  <c r="F63" i="23"/>
  <c r="E63" i="23"/>
  <c r="H62" i="23"/>
  <c r="G62" i="23"/>
  <c r="F62" i="23"/>
  <c r="E62" i="23"/>
  <c r="H57" i="23"/>
  <c r="G57" i="23"/>
  <c r="F57" i="23"/>
  <c r="E57" i="23" s="1"/>
  <c r="H55" i="23"/>
  <c r="G55" i="23"/>
  <c r="F55" i="23"/>
  <c r="E55" i="23"/>
  <c r="H53" i="23"/>
  <c r="G53" i="23"/>
  <c r="F53" i="23"/>
  <c r="H51" i="23"/>
  <c r="G51" i="23"/>
  <c r="F51" i="23"/>
  <c r="E51" i="23" s="1"/>
  <c r="H50" i="23"/>
  <c r="G50" i="23"/>
  <c r="F50" i="23"/>
  <c r="E50" i="23"/>
  <c r="H48" i="23"/>
  <c r="G48" i="23"/>
  <c r="F48" i="23"/>
  <c r="E48" i="23" s="1"/>
  <c r="H47" i="23"/>
  <c r="G47" i="23"/>
  <c r="F47" i="23"/>
  <c r="E47" i="23" s="1"/>
  <c r="H45" i="23"/>
  <c r="G45" i="23"/>
  <c r="F45" i="23"/>
  <c r="E45" i="23"/>
  <c r="H44" i="23"/>
  <c r="G44" i="23"/>
  <c r="F44" i="23"/>
  <c r="E44" i="23" s="1"/>
  <c r="H42" i="23"/>
  <c r="G42" i="23"/>
  <c r="F42" i="23"/>
  <c r="E42" i="23"/>
  <c r="H41" i="23"/>
  <c r="G41" i="23"/>
  <c r="F41" i="23"/>
  <c r="H39" i="23"/>
  <c r="G39" i="23"/>
  <c r="F39" i="23"/>
  <c r="E39" i="23" s="1"/>
  <c r="H37" i="23"/>
  <c r="G37" i="23"/>
  <c r="F37" i="23"/>
  <c r="E37" i="23"/>
  <c r="H35" i="23"/>
  <c r="G35" i="23"/>
  <c r="F35" i="23"/>
  <c r="E35" i="23" s="1"/>
  <c r="H33" i="23"/>
  <c r="G33" i="23"/>
  <c r="F33" i="23"/>
  <c r="E27" i="23"/>
  <c r="E26" i="23"/>
  <c r="E25" i="23"/>
  <c r="E24" i="23"/>
  <c r="E23" i="23"/>
  <c r="E22" i="23"/>
  <c r="E21" i="23"/>
  <c r="E20" i="23"/>
  <c r="E19" i="23"/>
  <c r="E18" i="23"/>
  <c r="E17" i="23"/>
  <c r="E16" i="23"/>
  <c r="H59" i="22"/>
  <c r="G59" i="22"/>
  <c r="F59" i="22"/>
  <c r="E59" i="22"/>
  <c r="H58" i="22"/>
  <c r="G58" i="22"/>
  <c r="F58" i="22"/>
  <c r="E58" i="22"/>
  <c r="H57" i="22"/>
  <c r="G57" i="22"/>
  <c r="F57" i="22"/>
  <c r="E57" i="22" s="1"/>
  <c r="H56" i="22"/>
  <c r="G56" i="22"/>
  <c r="F56" i="22"/>
  <c r="E56" i="22" s="1"/>
  <c r="H55" i="22"/>
  <c r="G55" i="22"/>
  <c r="F55" i="22"/>
  <c r="E55" i="22"/>
  <c r="H54" i="22"/>
  <c r="G54" i="22"/>
  <c r="F54" i="22"/>
  <c r="H53" i="22"/>
  <c r="G53" i="22"/>
  <c r="F53" i="22"/>
  <c r="E53" i="22"/>
  <c r="H52" i="22"/>
  <c r="G52" i="22"/>
  <c r="F52" i="22"/>
  <c r="E52" i="22"/>
  <c r="H51" i="22"/>
  <c r="G51" i="22"/>
  <c r="F51" i="22"/>
  <c r="H46" i="22"/>
  <c r="G46" i="22"/>
  <c r="F46" i="22"/>
  <c r="E46" i="22"/>
  <c r="H45" i="22"/>
  <c r="H47" i="22" s="1"/>
  <c r="G45" i="22"/>
  <c r="G47" i="22" s="1"/>
  <c r="F45" i="22"/>
  <c r="F47" i="22" s="1"/>
  <c r="H40" i="22"/>
  <c r="G40" i="22"/>
  <c r="F40" i="22"/>
  <c r="H39" i="22"/>
  <c r="G39" i="22"/>
  <c r="F39" i="22"/>
  <c r="H38" i="22"/>
  <c r="G38" i="22"/>
  <c r="F38" i="22"/>
  <c r="E38" i="22"/>
  <c r="H37" i="22"/>
  <c r="G37" i="22"/>
  <c r="F37" i="22"/>
  <c r="E37" i="22" s="1"/>
  <c r="H36" i="22"/>
  <c r="G36" i="22"/>
  <c r="F36" i="22"/>
  <c r="H35" i="22"/>
  <c r="G35" i="22"/>
  <c r="F35" i="22"/>
  <c r="H34" i="22"/>
  <c r="G34" i="22"/>
  <c r="F34" i="22"/>
  <c r="E34" i="22" s="1"/>
  <c r="H33" i="22"/>
  <c r="G33" i="22"/>
  <c r="F33" i="22"/>
  <c r="H32" i="22"/>
  <c r="G32" i="22"/>
  <c r="F32" i="22"/>
  <c r="E32" i="22"/>
  <c r="H31" i="22"/>
  <c r="G31" i="22"/>
  <c r="F31" i="22"/>
  <c r="H30" i="22"/>
  <c r="G30" i="22"/>
  <c r="F30" i="22"/>
  <c r="H29" i="22"/>
  <c r="G29" i="22"/>
  <c r="F29" i="22"/>
  <c r="E29" i="22"/>
  <c r="H24" i="22"/>
  <c r="G24" i="22"/>
  <c r="F24" i="22"/>
  <c r="H23" i="22"/>
  <c r="G23" i="22"/>
  <c r="F23" i="22"/>
  <c r="E23" i="22"/>
  <c r="H22" i="22"/>
  <c r="G22" i="22"/>
  <c r="F22" i="22"/>
  <c r="H21" i="22"/>
  <c r="G21" i="22"/>
  <c r="F21" i="22"/>
  <c r="H20" i="22"/>
  <c r="G20" i="22"/>
  <c r="F20" i="22"/>
  <c r="E20" i="22"/>
  <c r="H19" i="22"/>
  <c r="G19" i="22"/>
  <c r="F19" i="22"/>
  <c r="H18" i="22"/>
  <c r="G18" i="22"/>
  <c r="F18" i="22"/>
  <c r="H17" i="22"/>
  <c r="G17" i="22"/>
  <c r="F17" i="22"/>
  <c r="E17" i="22" s="1"/>
  <c r="H16" i="22"/>
  <c r="G16" i="22"/>
  <c r="F16" i="22"/>
  <c r="E16" i="22"/>
  <c r="H15" i="22"/>
  <c r="G15" i="22"/>
  <c r="F15" i="22"/>
  <c r="H14" i="22"/>
  <c r="G14" i="22"/>
  <c r="F14" i="22"/>
  <c r="E14" i="22" s="1"/>
  <c r="H13" i="22"/>
  <c r="G13" i="22"/>
  <c r="F13" i="22"/>
  <c r="E13" i="22"/>
  <c r="H26" i="21"/>
  <c r="G26" i="21"/>
  <c r="F26" i="21"/>
  <c r="E26" i="21" s="1"/>
  <c r="H25" i="21"/>
  <c r="G25" i="21"/>
  <c r="F25" i="21"/>
  <c r="F27" i="21" s="1"/>
  <c r="H20" i="21"/>
  <c r="G20" i="21"/>
  <c r="F20" i="21"/>
  <c r="H19" i="21"/>
  <c r="G19" i="21"/>
  <c r="F19" i="21"/>
  <c r="H18" i="21"/>
  <c r="G18" i="21"/>
  <c r="F18" i="21"/>
  <c r="E18" i="21"/>
  <c r="H17" i="21"/>
  <c r="G17" i="21"/>
  <c r="F17" i="21"/>
  <c r="E17" i="21" s="1"/>
  <c r="H16" i="21"/>
  <c r="G16" i="21"/>
  <c r="F16" i="21"/>
  <c r="H15" i="21"/>
  <c r="G15" i="21"/>
  <c r="F15" i="21"/>
  <c r="E15" i="21"/>
  <c r="H14" i="21"/>
  <c r="G14" i="21"/>
  <c r="F14" i="21"/>
  <c r="E14" i="21"/>
  <c r="H13" i="21"/>
  <c r="G13" i="21"/>
  <c r="F13" i="21"/>
  <c r="H376" i="20"/>
  <c r="H377" i="20" s="1"/>
  <c r="G376" i="20"/>
  <c r="F376" i="20"/>
  <c r="F377" i="20" s="1"/>
  <c r="H371" i="20"/>
  <c r="G371" i="20"/>
  <c r="F371" i="20"/>
  <c r="E371" i="20"/>
  <c r="H370" i="20"/>
  <c r="G370" i="20"/>
  <c r="F370" i="20"/>
  <c r="H369" i="20"/>
  <c r="G369" i="20"/>
  <c r="F369" i="20"/>
  <c r="E369" i="20" s="1"/>
  <c r="H368" i="20"/>
  <c r="G368" i="20"/>
  <c r="F368" i="20"/>
  <c r="E368" i="20"/>
  <c r="H367" i="20"/>
  <c r="G367" i="20"/>
  <c r="F367" i="20"/>
  <c r="H366" i="20"/>
  <c r="G366" i="20"/>
  <c r="F366" i="20"/>
  <c r="H365" i="20"/>
  <c r="G365" i="20"/>
  <c r="F365" i="20"/>
  <c r="E365" i="20"/>
  <c r="H364" i="20"/>
  <c r="G364" i="20"/>
  <c r="F364" i="20"/>
  <c r="E364" i="20" s="1"/>
  <c r="H363" i="20"/>
  <c r="G363" i="20"/>
  <c r="F363" i="20"/>
  <c r="E363" i="20" s="1"/>
  <c r="H362" i="20"/>
  <c r="G362" i="20"/>
  <c r="F362" i="20"/>
  <c r="E362" i="20" s="1"/>
  <c r="H361" i="20"/>
  <c r="G361" i="20"/>
  <c r="F361" i="20"/>
  <c r="E361" i="20" s="1"/>
  <c r="H360" i="20"/>
  <c r="G360" i="20"/>
  <c r="F360" i="20"/>
  <c r="E360" i="20" s="1"/>
  <c r="H359" i="20"/>
  <c r="G359" i="20"/>
  <c r="F359" i="20"/>
  <c r="E359" i="20"/>
  <c r="H358" i="20"/>
  <c r="G358" i="20"/>
  <c r="F358" i="20"/>
  <c r="E358" i="20" s="1"/>
  <c r="H357" i="20"/>
  <c r="G357" i="20"/>
  <c r="F357" i="20"/>
  <c r="E357" i="20"/>
  <c r="H356" i="20"/>
  <c r="G356" i="20"/>
  <c r="F356" i="20"/>
  <c r="E356" i="20" s="1"/>
  <c r="H355" i="20"/>
  <c r="G355" i="20"/>
  <c r="F355" i="20"/>
  <c r="E355" i="20" s="1"/>
  <c r="H354" i="20"/>
  <c r="G354" i="20"/>
  <c r="F354" i="20"/>
  <c r="H353" i="20"/>
  <c r="G353" i="20"/>
  <c r="F353" i="20"/>
  <c r="H352" i="20"/>
  <c r="G352" i="20"/>
  <c r="F352" i="20"/>
  <c r="H351" i="20"/>
  <c r="G351" i="20"/>
  <c r="F351" i="20"/>
  <c r="E351" i="20"/>
  <c r="H350" i="20"/>
  <c r="G350" i="20"/>
  <c r="F350" i="20"/>
  <c r="E350" i="20" s="1"/>
  <c r="H349" i="20"/>
  <c r="G349" i="20"/>
  <c r="F349" i="20"/>
  <c r="E349" i="20" s="1"/>
  <c r="H348" i="20"/>
  <c r="G348" i="20"/>
  <c r="F348" i="20"/>
  <c r="E348" i="20"/>
  <c r="H347" i="20"/>
  <c r="G347" i="20"/>
  <c r="F347" i="20"/>
  <c r="E347" i="20"/>
  <c r="H346" i="20"/>
  <c r="G346" i="20"/>
  <c r="F346" i="20"/>
  <c r="H345" i="20"/>
  <c r="G345" i="20"/>
  <c r="F345" i="20"/>
  <c r="E345" i="20"/>
  <c r="H344" i="20"/>
  <c r="G344" i="20"/>
  <c r="F344" i="20"/>
  <c r="E344" i="20"/>
  <c r="H343" i="20"/>
  <c r="G343" i="20"/>
  <c r="F343" i="20"/>
  <c r="E343" i="20" s="1"/>
  <c r="H338" i="20"/>
  <c r="G338" i="20"/>
  <c r="F338" i="20"/>
  <c r="E338" i="20" s="1"/>
  <c r="H337" i="20"/>
  <c r="G337" i="20"/>
  <c r="F337" i="20"/>
  <c r="E337" i="20" s="1"/>
  <c r="H336" i="20"/>
  <c r="G336" i="20"/>
  <c r="G339" i="20" s="1"/>
  <c r="F336" i="20"/>
  <c r="F339" i="20" s="1"/>
  <c r="H331" i="20"/>
  <c r="G331" i="20"/>
  <c r="F331" i="20"/>
  <c r="E331" i="20" s="1"/>
  <c r="H330" i="20"/>
  <c r="G330" i="20"/>
  <c r="F330" i="20"/>
  <c r="E330" i="20" s="1"/>
  <c r="H329" i="20"/>
  <c r="H332" i="20" s="1"/>
  <c r="G329" i="20"/>
  <c r="F329" i="20"/>
  <c r="F332" i="20" s="1"/>
  <c r="H323" i="20"/>
  <c r="G323" i="20"/>
  <c r="F323" i="20"/>
  <c r="E323" i="20"/>
  <c r="H322" i="20"/>
  <c r="G322" i="20"/>
  <c r="F322" i="20"/>
  <c r="H321" i="20"/>
  <c r="H324" i="20" s="1"/>
  <c r="G321" i="20"/>
  <c r="F321" i="20"/>
  <c r="H315" i="20"/>
  <c r="G315" i="20"/>
  <c r="F315" i="20"/>
  <c r="H314" i="20"/>
  <c r="G314" i="20"/>
  <c r="G316" i="20" s="1"/>
  <c r="F314" i="20"/>
  <c r="F316" i="20" s="1"/>
  <c r="H309" i="20"/>
  <c r="G309" i="20"/>
  <c r="F309" i="20"/>
  <c r="E309" i="20"/>
  <c r="H308" i="20"/>
  <c r="G308" i="20"/>
  <c r="F308" i="20"/>
  <c r="H307" i="20"/>
  <c r="G307" i="20"/>
  <c r="F307" i="20"/>
  <c r="E307" i="20"/>
  <c r="H306" i="20"/>
  <c r="G306" i="20"/>
  <c r="F306" i="20"/>
  <c r="E306" i="20"/>
  <c r="H305" i="20"/>
  <c r="G305" i="20"/>
  <c r="F305" i="20"/>
  <c r="E305" i="20" s="1"/>
  <c r="H303" i="20"/>
  <c r="G303" i="20"/>
  <c r="F303" i="20"/>
  <c r="E303" i="20"/>
  <c r="H302" i="20"/>
  <c r="G302" i="20"/>
  <c r="F302" i="20"/>
  <c r="E302" i="20"/>
  <c r="H301" i="20"/>
  <c r="G301" i="20"/>
  <c r="F301" i="20"/>
  <c r="H300" i="20"/>
  <c r="G300" i="20"/>
  <c r="F300" i="20"/>
  <c r="E300" i="20" s="1"/>
  <c r="H299" i="20"/>
  <c r="G299" i="20"/>
  <c r="F299" i="20"/>
  <c r="E299" i="20"/>
  <c r="H298" i="20"/>
  <c r="G298" i="20"/>
  <c r="F298" i="20"/>
  <c r="H297" i="20"/>
  <c r="G297" i="20"/>
  <c r="F297" i="20"/>
  <c r="E297" i="20"/>
  <c r="H296" i="20"/>
  <c r="G296" i="20"/>
  <c r="F296" i="20"/>
  <c r="E296" i="20"/>
  <c r="H295" i="20"/>
  <c r="G295" i="20"/>
  <c r="F295" i="20"/>
  <c r="H293" i="20"/>
  <c r="G293" i="20"/>
  <c r="F293" i="20"/>
  <c r="E293" i="20" s="1"/>
  <c r="H292" i="20"/>
  <c r="G292" i="20"/>
  <c r="F292" i="20"/>
  <c r="E292" i="20"/>
  <c r="H291" i="20"/>
  <c r="G291" i="20"/>
  <c r="F291" i="20"/>
  <c r="H290" i="20"/>
  <c r="G290" i="20"/>
  <c r="F290" i="20"/>
  <c r="H289" i="20"/>
  <c r="G289" i="20"/>
  <c r="F289" i="20"/>
  <c r="E289" i="20"/>
  <c r="H288" i="20"/>
  <c r="G288" i="20"/>
  <c r="F288" i="20"/>
  <c r="H287" i="20"/>
  <c r="G287" i="20"/>
  <c r="F287" i="20"/>
  <c r="H286" i="20"/>
  <c r="G286" i="20"/>
  <c r="F286" i="20"/>
  <c r="E286" i="20" s="1"/>
  <c r="H285" i="20"/>
  <c r="G285" i="20"/>
  <c r="F285" i="20"/>
  <c r="H279" i="20"/>
  <c r="G279" i="20"/>
  <c r="F279" i="20"/>
  <c r="E279" i="20" s="1"/>
  <c r="H278" i="20"/>
  <c r="G278" i="20"/>
  <c r="F278" i="20"/>
  <c r="H277" i="20"/>
  <c r="G277" i="20"/>
  <c r="F277" i="20"/>
  <c r="E277" i="20"/>
  <c r="H276" i="20"/>
  <c r="G276" i="20"/>
  <c r="F276" i="20"/>
  <c r="H275" i="20"/>
  <c r="G275" i="20"/>
  <c r="F275" i="20"/>
  <c r="H273" i="20"/>
  <c r="G273" i="20"/>
  <c r="F273" i="20"/>
  <c r="E273" i="20" s="1"/>
  <c r="H272" i="20"/>
  <c r="G272" i="20"/>
  <c r="F272" i="20"/>
  <c r="H271" i="20"/>
  <c r="G271" i="20"/>
  <c r="F271" i="20"/>
  <c r="H270" i="20"/>
  <c r="G270" i="20"/>
  <c r="F270" i="20"/>
  <c r="E270" i="20"/>
  <c r="H269" i="20"/>
  <c r="G269" i="20"/>
  <c r="F269" i="20"/>
  <c r="H268" i="20"/>
  <c r="G268" i="20"/>
  <c r="F268" i="20"/>
  <c r="E268" i="20" s="1"/>
  <c r="H267" i="20"/>
  <c r="G267" i="20"/>
  <c r="F267" i="20"/>
  <c r="E267" i="20"/>
  <c r="H266" i="20"/>
  <c r="G266" i="20"/>
  <c r="F266" i="20"/>
  <c r="H265" i="20"/>
  <c r="G265" i="20"/>
  <c r="F265" i="20"/>
  <c r="E265" i="20" s="1"/>
  <c r="H263" i="20"/>
  <c r="G263" i="20"/>
  <c r="F263" i="20"/>
  <c r="E263" i="20"/>
  <c r="H262" i="20"/>
  <c r="G262" i="20"/>
  <c r="F262" i="20"/>
  <c r="E262" i="20" s="1"/>
  <c r="H261" i="20"/>
  <c r="G261" i="20"/>
  <c r="F261" i="20"/>
  <c r="H260" i="20"/>
  <c r="G260" i="20"/>
  <c r="F260" i="20"/>
  <c r="E260" i="20" s="1"/>
  <c r="H259" i="20"/>
  <c r="G259" i="20"/>
  <c r="F259" i="20"/>
  <c r="H258" i="20"/>
  <c r="G258" i="20"/>
  <c r="F258" i="20"/>
  <c r="H257" i="20"/>
  <c r="G257" i="20"/>
  <c r="F257" i="20"/>
  <c r="E257" i="20"/>
  <c r="H256" i="20"/>
  <c r="G256" i="20"/>
  <c r="F256" i="20"/>
  <c r="E256" i="20"/>
  <c r="H255" i="20"/>
  <c r="G255" i="20"/>
  <c r="F255" i="20"/>
  <c r="H249" i="20"/>
  <c r="G249" i="20"/>
  <c r="F249" i="20"/>
  <c r="E249" i="20"/>
  <c r="H248" i="20"/>
  <c r="G248" i="20"/>
  <c r="F248" i="20"/>
  <c r="H247" i="20"/>
  <c r="G247" i="20"/>
  <c r="F247" i="20"/>
  <c r="E247" i="20" s="1"/>
  <c r="H246" i="20"/>
  <c r="G246" i="20"/>
  <c r="F246" i="20"/>
  <c r="H245" i="20"/>
  <c r="G245" i="20"/>
  <c r="F245" i="20"/>
  <c r="H244" i="20"/>
  <c r="G244" i="20"/>
  <c r="F244" i="20"/>
  <c r="E244" i="20"/>
  <c r="H243" i="20"/>
  <c r="G243" i="20"/>
  <c r="F243" i="20"/>
  <c r="E243" i="20"/>
  <c r="H242" i="20"/>
  <c r="G242" i="20"/>
  <c r="F242" i="20"/>
  <c r="H241" i="20"/>
  <c r="G241" i="20"/>
  <c r="F241" i="20"/>
  <c r="E241" i="20"/>
  <c r="H239" i="20"/>
  <c r="G239" i="20"/>
  <c r="F239" i="20"/>
  <c r="H238" i="20"/>
  <c r="G238" i="20"/>
  <c r="F238" i="20"/>
  <c r="H237" i="20"/>
  <c r="G237" i="20"/>
  <c r="F237" i="20"/>
  <c r="E237" i="20"/>
  <c r="H236" i="20"/>
  <c r="G236" i="20"/>
  <c r="F236" i="20"/>
  <c r="H235" i="20"/>
  <c r="G235" i="20"/>
  <c r="F235" i="20"/>
  <c r="H234" i="20"/>
  <c r="G234" i="20"/>
  <c r="F234" i="20"/>
  <c r="E234" i="20" s="1"/>
  <c r="H233" i="20"/>
  <c r="G233" i="20"/>
  <c r="F233" i="20"/>
  <c r="E233" i="20" s="1"/>
  <c r="H232" i="20"/>
  <c r="G232" i="20"/>
  <c r="F232" i="20"/>
  <c r="E232" i="20" s="1"/>
  <c r="H231" i="20"/>
  <c r="G231" i="20"/>
  <c r="F231" i="20"/>
  <c r="E231" i="20"/>
  <c r="H225" i="20"/>
  <c r="G225" i="20"/>
  <c r="F225" i="20"/>
  <c r="E225" i="20" s="1"/>
  <c r="H224" i="20"/>
  <c r="G224" i="20"/>
  <c r="F224" i="20"/>
  <c r="E224" i="20" s="1"/>
  <c r="H223" i="20"/>
  <c r="G223" i="20"/>
  <c r="F223" i="20"/>
  <c r="E223" i="20"/>
  <c r="H222" i="20"/>
  <c r="G222" i="20"/>
  <c r="F222" i="20"/>
  <c r="E222" i="20" s="1"/>
  <c r="H217" i="20"/>
  <c r="G217" i="20"/>
  <c r="F217" i="20"/>
  <c r="E217" i="20" s="1"/>
  <c r="H216" i="20"/>
  <c r="G216" i="20"/>
  <c r="F216" i="20"/>
  <c r="H215" i="20"/>
  <c r="G215" i="20"/>
  <c r="F215" i="20"/>
  <c r="E215" i="20"/>
  <c r="H214" i="20"/>
  <c r="G214" i="20"/>
  <c r="F214" i="20"/>
  <c r="E214" i="20"/>
  <c r="H213" i="20"/>
  <c r="G213" i="20"/>
  <c r="F213" i="20"/>
  <c r="H211" i="20"/>
  <c r="G211" i="20"/>
  <c r="F211" i="20"/>
  <c r="E211" i="20"/>
  <c r="H210" i="20"/>
  <c r="G210" i="20"/>
  <c r="F210" i="20"/>
  <c r="E210" i="20"/>
  <c r="H209" i="20"/>
  <c r="G209" i="20"/>
  <c r="F209" i="20"/>
  <c r="E209" i="20" s="1"/>
  <c r="H208" i="20"/>
  <c r="G208" i="20"/>
  <c r="F208" i="20"/>
  <c r="H207" i="20"/>
  <c r="G207" i="20"/>
  <c r="F207" i="20"/>
  <c r="E207" i="20"/>
  <c r="H205" i="20"/>
  <c r="G205" i="20"/>
  <c r="F205" i="20"/>
  <c r="E205" i="20" s="1"/>
  <c r="H204" i="20"/>
  <c r="G204" i="20"/>
  <c r="F204" i="20"/>
  <c r="E204" i="20" s="1"/>
  <c r="H203" i="20"/>
  <c r="G203" i="20"/>
  <c r="F203" i="20"/>
  <c r="E203" i="20" s="1"/>
  <c r="H202" i="20"/>
  <c r="G202" i="20"/>
  <c r="F202" i="20"/>
  <c r="E202" i="20" s="1"/>
  <c r="H201" i="20"/>
  <c r="G201" i="20"/>
  <c r="F201" i="20"/>
  <c r="E201" i="20" s="1"/>
  <c r="H199" i="20"/>
  <c r="G199" i="20"/>
  <c r="F199" i="20"/>
  <c r="E199" i="20"/>
  <c r="H198" i="20"/>
  <c r="G198" i="20"/>
  <c r="F198" i="20"/>
  <c r="E198" i="20" s="1"/>
  <c r="H197" i="20"/>
  <c r="G197" i="20"/>
  <c r="F197" i="20"/>
  <c r="E197" i="20"/>
  <c r="H196" i="20"/>
  <c r="G196" i="20"/>
  <c r="F196" i="20"/>
  <c r="H195" i="20"/>
  <c r="G195" i="20"/>
  <c r="F195" i="20"/>
  <c r="E195" i="20" s="1"/>
  <c r="H193" i="20"/>
  <c r="G193" i="20"/>
  <c r="F193" i="20"/>
  <c r="E193" i="20"/>
  <c r="H192" i="20"/>
  <c r="G192" i="20"/>
  <c r="F192" i="20"/>
  <c r="H191" i="20"/>
  <c r="G191" i="20"/>
  <c r="F191" i="20"/>
  <c r="H190" i="20"/>
  <c r="G190" i="20"/>
  <c r="F190" i="20"/>
  <c r="E190" i="20"/>
  <c r="H189" i="20"/>
  <c r="G189" i="20"/>
  <c r="F189" i="20"/>
  <c r="E189" i="20" s="1"/>
  <c r="H187" i="20"/>
  <c r="G187" i="20"/>
  <c r="F187" i="20"/>
  <c r="E187" i="20" s="1"/>
  <c r="H186" i="20"/>
  <c r="G186" i="20"/>
  <c r="F186" i="20"/>
  <c r="E186" i="20"/>
  <c r="H185" i="20"/>
  <c r="G185" i="20"/>
  <c r="F185" i="20"/>
  <c r="E185" i="20"/>
  <c r="H184" i="20"/>
  <c r="G184" i="20"/>
  <c r="F184" i="20"/>
  <c r="H183" i="20"/>
  <c r="G183" i="20"/>
  <c r="F183" i="20"/>
  <c r="E183" i="20"/>
  <c r="H181" i="20"/>
  <c r="G181" i="20"/>
  <c r="F181" i="20"/>
  <c r="E181" i="20"/>
  <c r="H180" i="20"/>
  <c r="G180" i="20"/>
  <c r="F180" i="20"/>
  <c r="H179" i="20"/>
  <c r="G179" i="20"/>
  <c r="F179" i="20"/>
  <c r="E179" i="20" s="1"/>
  <c r="H178" i="20"/>
  <c r="G178" i="20"/>
  <c r="F178" i="20"/>
  <c r="E178" i="20"/>
  <c r="H177" i="20"/>
  <c r="G177" i="20"/>
  <c r="F177" i="20"/>
  <c r="H175" i="20"/>
  <c r="G175" i="20"/>
  <c r="F175" i="20"/>
  <c r="E175" i="20" s="1"/>
  <c r="H174" i="20"/>
  <c r="G174" i="20"/>
  <c r="F174" i="20"/>
  <c r="E174" i="20"/>
  <c r="H173" i="20"/>
  <c r="G173" i="20"/>
  <c r="F173" i="20"/>
  <c r="E173" i="20" s="1"/>
  <c r="H172" i="20"/>
  <c r="G172" i="20"/>
  <c r="F172" i="20"/>
  <c r="E172" i="20"/>
  <c r="H171" i="20"/>
  <c r="G171" i="20"/>
  <c r="F171" i="20"/>
  <c r="E171" i="20"/>
  <c r="H169" i="20"/>
  <c r="G169" i="20"/>
  <c r="F169" i="20"/>
  <c r="E169" i="20" s="1"/>
  <c r="H168" i="20"/>
  <c r="G168" i="20"/>
  <c r="F168" i="20"/>
  <c r="E168" i="20" s="1"/>
  <c r="H167" i="20"/>
  <c r="G167" i="20"/>
  <c r="F167" i="20"/>
  <c r="E167" i="20"/>
  <c r="H166" i="20"/>
  <c r="G166" i="20"/>
  <c r="F166" i="20"/>
  <c r="E166" i="20" s="1"/>
  <c r="H165" i="20"/>
  <c r="G165" i="20"/>
  <c r="F165" i="20"/>
  <c r="H159" i="20"/>
  <c r="G159" i="20"/>
  <c r="F159" i="20"/>
  <c r="H158" i="20"/>
  <c r="G158" i="20"/>
  <c r="F158" i="20"/>
  <c r="E158" i="20" s="1"/>
  <c r="H157" i="20"/>
  <c r="G157" i="20"/>
  <c r="F157" i="20"/>
  <c r="E157" i="20" s="1"/>
  <c r="H156" i="20"/>
  <c r="G156" i="20"/>
  <c r="F156" i="20"/>
  <c r="E156" i="20" s="1"/>
  <c r="H155" i="20"/>
  <c r="G155" i="20"/>
  <c r="F155" i="20"/>
  <c r="E155" i="20" s="1"/>
  <c r="H153" i="20"/>
  <c r="G153" i="20"/>
  <c r="F153" i="20"/>
  <c r="E153" i="20"/>
  <c r="H152" i="20"/>
  <c r="G152" i="20"/>
  <c r="F152" i="20"/>
  <c r="E152" i="20" s="1"/>
  <c r="H151" i="20"/>
  <c r="G151" i="20"/>
  <c r="F151" i="20"/>
  <c r="E151" i="20"/>
  <c r="H150" i="20"/>
  <c r="G150" i="20"/>
  <c r="F150" i="20"/>
  <c r="E150" i="20" s="1"/>
  <c r="H149" i="20"/>
  <c r="G149" i="20"/>
  <c r="F149" i="20"/>
  <c r="E149" i="20" s="1"/>
  <c r="H147" i="20"/>
  <c r="G147" i="20"/>
  <c r="F147" i="20"/>
  <c r="E147" i="20"/>
  <c r="H146" i="20"/>
  <c r="G146" i="20"/>
  <c r="F146" i="20"/>
  <c r="H145" i="20"/>
  <c r="G145" i="20"/>
  <c r="F145" i="20"/>
  <c r="H144" i="20"/>
  <c r="G144" i="20"/>
  <c r="F144" i="20"/>
  <c r="E144" i="20"/>
  <c r="H143" i="20"/>
  <c r="G143" i="20"/>
  <c r="F143" i="20"/>
  <c r="E143" i="20" s="1"/>
  <c r="H141" i="20"/>
  <c r="G141" i="20"/>
  <c r="F141" i="20"/>
  <c r="E141" i="20" s="1"/>
  <c r="H140" i="20"/>
  <c r="G140" i="20"/>
  <c r="F140" i="20"/>
  <c r="E140" i="20"/>
  <c r="H139" i="20"/>
  <c r="G139" i="20"/>
  <c r="F139" i="20"/>
  <c r="E139" i="20"/>
  <c r="H138" i="20"/>
  <c r="G138" i="20"/>
  <c r="F138" i="20"/>
  <c r="H137" i="20"/>
  <c r="G137" i="20"/>
  <c r="F137" i="20"/>
  <c r="E137" i="20"/>
  <c r="H135" i="20"/>
  <c r="G135" i="20"/>
  <c r="F135" i="20"/>
  <c r="E135" i="20"/>
  <c r="H134" i="20"/>
  <c r="G134" i="20"/>
  <c r="F134" i="20"/>
  <c r="H133" i="20"/>
  <c r="G133" i="20"/>
  <c r="F133" i="20"/>
  <c r="E133" i="20"/>
  <c r="H132" i="20"/>
  <c r="G132" i="20"/>
  <c r="F132" i="20"/>
  <c r="E132" i="20"/>
  <c r="H131" i="20"/>
  <c r="G131" i="20"/>
  <c r="F131" i="20"/>
  <c r="H129" i="20"/>
  <c r="G129" i="20"/>
  <c r="F129" i="20"/>
  <c r="E129" i="20" s="1"/>
  <c r="H128" i="20"/>
  <c r="G128" i="20"/>
  <c r="F128" i="20"/>
  <c r="E128" i="20"/>
  <c r="H127" i="20"/>
  <c r="G127" i="20"/>
  <c r="F127" i="20"/>
  <c r="E127" i="20" s="1"/>
  <c r="H126" i="20"/>
  <c r="G126" i="20"/>
  <c r="F126" i="20"/>
  <c r="E126" i="20"/>
  <c r="H125" i="20"/>
  <c r="G125" i="20"/>
  <c r="F125" i="20"/>
  <c r="E125" i="20"/>
  <c r="H123" i="20"/>
  <c r="G123" i="20"/>
  <c r="F123" i="20"/>
  <c r="E123" i="20" s="1"/>
  <c r="H122" i="20"/>
  <c r="G122" i="20"/>
  <c r="F122" i="20"/>
  <c r="E122" i="20" s="1"/>
  <c r="H121" i="20"/>
  <c r="G121" i="20"/>
  <c r="F121" i="20"/>
  <c r="E121" i="20"/>
  <c r="H120" i="20"/>
  <c r="G120" i="20"/>
  <c r="F120" i="20"/>
  <c r="E120" i="20"/>
  <c r="H119" i="20"/>
  <c r="G119" i="20"/>
  <c r="F119" i="20"/>
  <c r="E119" i="20" s="1"/>
  <c r="H117" i="20"/>
  <c r="G117" i="20"/>
  <c r="F117" i="20"/>
  <c r="E117" i="20"/>
  <c r="H116" i="20"/>
  <c r="G116" i="20"/>
  <c r="F116" i="20"/>
  <c r="E116" i="20"/>
  <c r="H115" i="20"/>
  <c r="G115" i="20"/>
  <c r="F115" i="20"/>
  <c r="H114" i="20"/>
  <c r="G114" i="20"/>
  <c r="F114" i="20"/>
  <c r="E114" i="20"/>
  <c r="H113" i="20"/>
  <c r="G113" i="20"/>
  <c r="F113" i="20"/>
  <c r="H111" i="20"/>
  <c r="G111" i="20"/>
  <c r="F111" i="20"/>
  <c r="E111" i="20" s="1"/>
  <c r="H110" i="20"/>
  <c r="G110" i="20"/>
  <c r="F110" i="20"/>
  <c r="E110" i="20"/>
  <c r="H109" i="20"/>
  <c r="G109" i="20"/>
  <c r="F109" i="20"/>
  <c r="H108" i="20"/>
  <c r="G108" i="20"/>
  <c r="F108" i="20"/>
  <c r="E108" i="20" s="1"/>
  <c r="H107" i="20"/>
  <c r="G107" i="20"/>
  <c r="F107" i="20"/>
  <c r="E107" i="20"/>
  <c r="H101" i="20"/>
  <c r="G101" i="20"/>
  <c r="F101" i="20"/>
  <c r="H100" i="20"/>
  <c r="G100" i="20"/>
  <c r="F100" i="20"/>
  <c r="E100" i="20"/>
  <c r="H99" i="20"/>
  <c r="G99" i="20"/>
  <c r="F99" i="20"/>
  <c r="H98" i="20"/>
  <c r="G98" i="20"/>
  <c r="F98" i="20"/>
  <c r="H97" i="20"/>
  <c r="G97" i="20"/>
  <c r="F97" i="20"/>
  <c r="E97" i="20"/>
  <c r="H95" i="20"/>
  <c r="G95" i="20"/>
  <c r="F95" i="20"/>
  <c r="E95" i="20"/>
  <c r="H94" i="20"/>
  <c r="G94" i="20"/>
  <c r="F94" i="20"/>
  <c r="H93" i="20"/>
  <c r="G93" i="20"/>
  <c r="F93" i="20"/>
  <c r="E93" i="20"/>
  <c r="H92" i="20"/>
  <c r="G92" i="20"/>
  <c r="F92" i="20"/>
  <c r="E92" i="20"/>
  <c r="H91" i="20"/>
  <c r="G91" i="20"/>
  <c r="F91" i="20"/>
  <c r="H89" i="20"/>
  <c r="G89" i="20"/>
  <c r="F89" i="20"/>
  <c r="E89" i="20"/>
  <c r="H88" i="20"/>
  <c r="G88" i="20"/>
  <c r="F88" i="20"/>
  <c r="E88" i="20"/>
  <c r="H87" i="20"/>
  <c r="G87" i="20"/>
  <c r="F87" i="20"/>
  <c r="H86" i="20"/>
  <c r="G86" i="20"/>
  <c r="F86" i="20"/>
  <c r="E86" i="20"/>
  <c r="H85" i="20"/>
  <c r="G85" i="20"/>
  <c r="F85" i="20"/>
  <c r="E85" i="20"/>
  <c r="H83" i="20"/>
  <c r="G83" i="20"/>
  <c r="F83" i="20"/>
  <c r="H82" i="20"/>
  <c r="G82" i="20"/>
  <c r="F82" i="20"/>
  <c r="E82" i="20"/>
  <c r="H81" i="20"/>
  <c r="G81" i="20"/>
  <c r="F81" i="20"/>
  <c r="E81" i="20"/>
  <c r="H80" i="20"/>
  <c r="G80" i="20"/>
  <c r="F80" i="20"/>
  <c r="H79" i="20"/>
  <c r="G79" i="20"/>
  <c r="F79" i="20"/>
  <c r="E79" i="20"/>
  <c r="H77" i="20"/>
  <c r="G77" i="20"/>
  <c r="F77" i="20"/>
  <c r="E77" i="20"/>
  <c r="H76" i="20"/>
  <c r="G76" i="20"/>
  <c r="F76" i="20"/>
  <c r="H75" i="20"/>
  <c r="G75" i="20"/>
  <c r="F75" i="20"/>
  <c r="E75" i="20"/>
  <c r="H74" i="20"/>
  <c r="G74" i="20"/>
  <c r="F74" i="20"/>
  <c r="E74" i="20"/>
  <c r="H73" i="20"/>
  <c r="G73" i="20"/>
  <c r="F73" i="20"/>
  <c r="H71" i="20"/>
  <c r="G71" i="20"/>
  <c r="F71" i="20"/>
  <c r="E71" i="20"/>
  <c r="H70" i="20"/>
  <c r="G70" i="20"/>
  <c r="F70" i="20"/>
  <c r="E70" i="20" s="1"/>
  <c r="H69" i="20"/>
  <c r="G69" i="20"/>
  <c r="F69" i="20"/>
  <c r="H68" i="20"/>
  <c r="G68" i="20"/>
  <c r="F68" i="20"/>
  <c r="E68" i="20"/>
  <c r="H67" i="20"/>
  <c r="G67" i="20"/>
  <c r="F67" i="20"/>
  <c r="E67" i="20" s="1"/>
  <c r="H65" i="20"/>
  <c r="G65" i="20"/>
  <c r="F65" i="20"/>
  <c r="H64" i="20"/>
  <c r="G64" i="20"/>
  <c r="F64" i="20"/>
  <c r="E64" i="20"/>
  <c r="H63" i="20"/>
  <c r="G63" i="20"/>
  <c r="F63" i="20"/>
  <c r="E63" i="20" s="1"/>
  <c r="H62" i="20"/>
  <c r="G62" i="20"/>
  <c r="F62" i="20"/>
  <c r="H61" i="20"/>
  <c r="G61" i="20"/>
  <c r="F61" i="20"/>
  <c r="E61" i="20"/>
  <c r="H59" i="20"/>
  <c r="G59" i="20"/>
  <c r="F59" i="20"/>
  <c r="H58" i="20"/>
  <c r="G58" i="20"/>
  <c r="F58" i="20"/>
  <c r="H57" i="20"/>
  <c r="G57" i="20"/>
  <c r="F57" i="20"/>
  <c r="E57" i="20"/>
  <c r="H56" i="20"/>
  <c r="G56" i="20"/>
  <c r="F56" i="20"/>
  <c r="E56" i="20" s="1"/>
  <c r="H55" i="20"/>
  <c r="G55" i="20"/>
  <c r="F55" i="20"/>
  <c r="H53" i="20"/>
  <c r="G53" i="20"/>
  <c r="F53" i="20"/>
  <c r="E53" i="20"/>
  <c r="H52" i="20"/>
  <c r="G52" i="20"/>
  <c r="F52" i="20"/>
  <c r="E52" i="20"/>
  <c r="H51" i="20"/>
  <c r="G51" i="20"/>
  <c r="F51" i="20"/>
  <c r="H50" i="20"/>
  <c r="G50" i="20"/>
  <c r="F50" i="20"/>
  <c r="E50" i="20"/>
  <c r="H49" i="20"/>
  <c r="G49" i="20"/>
  <c r="G102" i="20" s="1"/>
  <c r="F49" i="20"/>
  <c r="E49" i="20"/>
  <c r="H43" i="20"/>
  <c r="G43" i="20"/>
  <c r="F43" i="20"/>
  <c r="E43" i="20"/>
  <c r="H42" i="20"/>
  <c r="G42" i="20"/>
  <c r="F42" i="20"/>
  <c r="E42" i="20"/>
  <c r="H41" i="20"/>
  <c r="G41" i="20"/>
  <c r="F41" i="20"/>
  <c r="H40" i="20"/>
  <c r="G40" i="20"/>
  <c r="F40" i="20"/>
  <c r="E40" i="20"/>
  <c r="H39" i="20"/>
  <c r="G39" i="20"/>
  <c r="F39" i="20"/>
  <c r="E39" i="20"/>
  <c r="H37" i="20"/>
  <c r="G37" i="20"/>
  <c r="F37" i="20"/>
  <c r="H36" i="20"/>
  <c r="G36" i="20"/>
  <c r="F36" i="20"/>
  <c r="E36" i="20"/>
  <c r="H35" i="20"/>
  <c r="G35" i="20"/>
  <c r="F35" i="20"/>
  <c r="E35" i="20"/>
  <c r="H34" i="20"/>
  <c r="G34" i="20"/>
  <c r="F34" i="20"/>
  <c r="H33" i="20"/>
  <c r="G33" i="20"/>
  <c r="F33" i="20"/>
  <c r="E33" i="20"/>
  <c r="H31" i="20"/>
  <c r="G31" i="20"/>
  <c r="F31" i="20"/>
  <c r="E31" i="20"/>
  <c r="H30" i="20"/>
  <c r="G30" i="20"/>
  <c r="F30" i="20"/>
  <c r="H29" i="20"/>
  <c r="G29" i="20"/>
  <c r="F29" i="20"/>
  <c r="E29" i="20"/>
  <c r="H28" i="20"/>
  <c r="G28" i="20"/>
  <c r="F28" i="20"/>
  <c r="E28" i="20" s="1"/>
  <c r="H27" i="20"/>
  <c r="G27" i="20"/>
  <c r="F27" i="20"/>
  <c r="H25" i="20"/>
  <c r="G25" i="20"/>
  <c r="F25" i="20"/>
  <c r="E25" i="20"/>
  <c r="H23" i="20"/>
  <c r="G23" i="20"/>
  <c r="F23" i="20"/>
  <c r="H22" i="20"/>
  <c r="G22" i="20"/>
  <c r="F22" i="20"/>
  <c r="E22" i="20"/>
  <c r="H21" i="20"/>
  <c r="G21" i="20"/>
  <c r="F21" i="20"/>
  <c r="E21" i="20"/>
  <c r="H15" i="20"/>
  <c r="G15" i="20"/>
  <c r="F15" i="20"/>
  <c r="E15" i="20"/>
  <c r="H14" i="20"/>
  <c r="G14" i="20"/>
  <c r="F14" i="20"/>
  <c r="E14" i="20" s="1"/>
  <c r="H13" i="20"/>
  <c r="H16" i="20" s="1"/>
  <c r="G13" i="20"/>
  <c r="F13" i="20"/>
  <c r="E398" i="19"/>
  <c r="E397" i="19"/>
  <c r="E396" i="19"/>
  <c r="E395" i="19"/>
  <c r="E394" i="19"/>
  <c r="E393" i="19"/>
  <c r="E392" i="19"/>
  <c r="E391" i="19"/>
  <c r="E390" i="19"/>
  <c r="E389" i="19"/>
  <c r="E388" i="19"/>
  <c r="E387" i="19"/>
  <c r="E386" i="19"/>
  <c r="E385" i="19"/>
  <c r="E384" i="19"/>
  <c r="E383" i="19"/>
  <c r="E382" i="19"/>
  <c r="E381" i="19"/>
  <c r="E380" i="19"/>
  <c r="E379" i="19"/>
  <c r="E378" i="19"/>
  <c r="E377" i="19"/>
  <c r="E376" i="19"/>
  <c r="E375" i="19"/>
  <c r="E374" i="19"/>
  <c r="E373" i="19"/>
  <c r="E372" i="19"/>
  <c r="E371" i="19"/>
  <c r="E370" i="19"/>
  <c r="E369" i="19"/>
  <c r="E368" i="19"/>
  <c r="E367" i="19"/>
  <c r="E366" i="19"/>
  <c r="E365" i="19"/>
  <c r="E364" i="19"/>
  <c r="E363" i="19"/>
  <c r="E362" i="19"/>
  <c r="E361" i="19"/>
  <c r="E360" i="19"/>
  <c r="E359" i="19"/>
  <c r="E358" i="19"/>
  <c r="E357" i="19"/>
  <c r="E356" i="19"/>
  <c r="E355" i="19"/>
  <c r="E354" i="19"/>
  <c r="E353" i="19"/>
  <c r="E352" i="19"/>
  <c r="E351" i="19"/>
  <c r="E350" i="19"/>
  <c r="E349" i="19"/>
  <c r="E348" i="19"/>
  <c r="E347" i="19"/>
  <c r="E346" i="19"/>
  <c r="E345" i="19"/>
  <c r="E344" i="19"/>
  <c r="E343" i="19"/>
  <c r="E342" i="19"/>
  <c r="E399" i="19" s="1"/>
  <c r="H337" i="19"/>
  <c r="G337" i="19"/>
  <c r="F337" i="19"/>
  <c r="E337" i="19"/>
  <c r="H336" i="19"/>
  <c r="G336" i="19"/>
  <c r="F336" i="19"/>
  <c r="H335" i="19"/>
  <c r="G335" i="19"/>
  <c r="F335" i="19"/>
  <c r="E335" i="19"/>
  <c r="H334" i="19"/>
  <c r="G334" i="19"/>
  <c r="F334" i="19"/>
  <c r="E334" i="19"/>
  <c r="H333" i="19"/>
  <c r="H338" i="19" s="1"/>
  <c r="G333" i="19"/>
  <c r="F333" i="19"/>
  <c r="E333" i="19"/>
  <c r="H328" i="19"/>
  <c r="G328" i="19"/>
  <c r="F328" i="19"/>
  <c r="H327" i="19"/>
  <c r="G327" i="19"/>
  <c r="F327" i="19"/>
  <c r="E327" i="19"/>
  <c r="H326" i="19"/>
  <c r="G326" i="19"/>
  <c r="F326" i="19"/>
  <c r="E326" i="19"/>
  <c r="H325" i="19"/>
  <c r="G325" i="19"/>
  <c r="F325" i="19"/>
  <c r="H324" i="19"/>
  <c r="G324" i="19"/>
  <c r="F324" i="19"/>
  <c r="E324" i="19"/>
  <c r="H322" i="19"/>
  <c r="G322" i="19"/>
  <c r="F322" i="19"/>
  <c r="E322" i="19"/>
  <c r="H321" i="19"/>
  <c r="G321" i="19"/>
  <c r="F321" i="19"/>
  <c r="H320" i="19"/>
  <c r="G320" i="19"/>
  <c r="F320" i="19"/>
  <c r="E320" i="19"/>
  <c r="H314" i="19"/>
  <c r="G314" i="19"/>
  <c r="F314" i="19"/>
  <c r="E314" i="19"/>
  <c r="H313" i="19"/>
  <c r="G313" i="19"/>
  <c r="F313" i="19"/>
  <c r="E313" i="19"/>
  <c r="H312" i="19"/>
  <c r="G312" i="19"/>
  <c r="F312" i="19"/>
  <c r="E312" i="19"/>
  <c r="H311" i="19"/>
  <c r="G311" i="19"/>
  <c r="F311" i="19"/>
  <c r="E311" i="19"/>
  <c r="H310" i="19"/>
  <c r="G310" i="19"/>
  <c r="F310" i="19"/>
  <c r="E310" i="19"/>
  <c r="H308" i="19"/>
  <c r="G308" i="19"/>
  <c r="F308" i="19"/>
  <c r="E308" i="19"/>
  <c r="H307" i="19"/>
  <c r="G307" i="19"/>
  <c r="F307" i="19"/>
  <c r="E307" i="19"/>
  <c r="H306" i="19"/>
  <c r="G306" i="19"/>
  <c r="F306" i="19"/>
  <c r="E306" i="19"/>
  <c r="H300" i="19"/>
  <c r="G300" i="19"/>
  <c r="F300" i="19"/>
  <c r="E300" i="19"/>
  <c r="H299" i="19"/>
  <c r="G299" i="19"/>
  <c r="F299" i="19"/>
  <c r="E299" i="19"/>
  <c r="H298" i="19"/>
  <c r="G298" i="19"/>
  <c r="F298" i="19"/>
  <c r="E298" i="19" s="1"/>
  <c r="H297" i="19"/>
  <c r="G297" i="19"/>
  <c r="F297" i="19"/>
  <c r="E297" i="19"/>
  <c r="H291" i="19"/>
  <c r="G291" i="19"/>
  <c r="F291" i="19"/>
  <c r="E291" i="19"/>
  <c r="H290" i="19"/>
  <c r="G290" i="19"/>
  <c r="F290" i="19"/>
  <c r="E290" i="19" s="1"/>
  <c r="H289" i="19"/>
  <c r="G289" i="19"/>
  <c r="F289" i="19"/>
  <c r="E289" i="19" s="1"/>
  <c r="H288" i="19"/>
  <c r="G288" i="19"/>
  <c r="G292" i="19" s="1"/>
  <c r="F288" i="19"/>
  <c r="F292" i="19" s="1"/>
  <c r="E288" i="19"/>
  <c r="H282" i="19"/>
  <c r="G282" i="19"/>
  <c r="F282" i="19"/>
  <c r="E282" i="19"/>
  <c r="H281" i="19"/>
  <c r="G281" i="19"/>
  <c r="F281" i="19"/>
  <c r="E281" i="19"/>
  <c r="H280" i="19"/>
  <c r="G280" i="19"/>
  <c r="F280" i="19"/>
  <c r="E280" i="19" s="1"/>
  <c r="H279" i="19"/>
  <c r="G279" i="19"/>
  <c r="F279" i="19"/>
  <c r="E279" i="19"/>
  <c r="H278" i="19"/>
  <c r="G278" i="19"/>
  <c r="F278" i="19"/>
  <c r="E278" i="19"/>
  <c r="H277" i="19"/>
  <c r="G277" i="19"/>
  <c r="F277" i="19"/>
  <c r="E277" i="19" s="1"/>
  <c r="H276" i="19"/>
  <c r="G276" i="19"/>
  <c r="F276" i="19"/>
  <c r="E276" i="19"/>
  <c r="H275" i="19"/>
  <c r="G275" i="19"/>
  <c r="F275" i="19"/>
  <c r="E275" i="19"/>
  <c r="H274" i="19"/>
  <c r="G274" i="19"/>
  <c r="F274" i="19"/>
  <c r="H269" i="19"/>
  <c r="G269" i="19"/>
  <c r="F269" i="19"/>
  <c r="E269" i="19"/>
  <c r="H268" i="19"/>
  <c r="G268" i="19"/>
  <c r="F268" i="19"/>
  <c r="E268" i="19" s="1"/>
  <c r="H267" i="19"/>
  <c r="G267" i="19"/>
  <c r="F267" i="19"/>
  <c r="E267" i="19"/>
  <c r="H266" i="19"/>
  <c r="G266" i="19"/>
  <c r="F266" i="19"/>
  <c r="E266" i="19"/>
  <c r="H265" i="19"/>
  <c r="G265" i="19"/>
  <c r="F265" i="19"/>
  <c r="E265" i="19" s="1"/>
  <c r="H264" i="19"/>
  <c r="G264" i="19"/>
  <c r="F264" i="19"/>
  <c r="E264" i="19"/>
  <c r="H263" i="19"/>
  <c r="G263" i="19"/>
  <c r="F263" i="19"/>
  <c r="E263" i="19"/>
  <c r="H262" i="19"/>
  <c r="G262" i="19"/>
  <c r="F262" i="19"/>
  <c r="H261" i="19"/>
  <c r="G261" i="19"/>
  <c r="F261" i="19"/>
  <c r="E261" i="19"/>
  <c r="H260" i="19"/>
  <c r="G260" i="19"/>
  <c r="F260" i="19"/>
  <c r="E260" i="19"/>
  <c r="H259" i="19"/>
  <c r="G259" i="19"/>
  <c r="F259" i="19"/>
  <c r="E259" i="19" s="1"/>
  <c r="H258" i="19"/>
  <c r="G258" i="19"/>
  <c r="F258" i="19"/>
  <c r="E258" i="19"/>
  <c r="H257" i="19"/>
  <c r="G257" i="19"/>
  <c r="F257" i="19"/>
  <c r="E257" i="19"/>
  <c r="H256" i="19"/>
  <c r="G256" i="19"/>
  <c r="F256" i="19"/>
  <c r="E256" i="19" s="1"/>
  <c r="H255" i="19"/>
  <c r="G255" i="19"/>
  <c r="F255" i="19"/>
  <c r="E255" i="19"/>
  <c r="H254" i="19"/>
  <c r="G254" i="19"/>
  <c r="F254" i="19"/>
  <c r="E254" i="19"/>
  <c r="H253" i="19"/>
  <c r="G253" i="19"/>
  <c r="F253" i="19"/>
  <c r="E253" i="19" s="1"/>
  <c r="H252" i="19"/>
  <c r="G252" i="19"/>
  <c r="F252" i="19"/>
  <c r="E252" i="19"/>
  <c r="H251" i="19"/>
  <c r="G251" i="19"/>
  <c r="F251" i="19"/>
  <c r="E251" i="19"/>
  <c r="H250" i="19"/>
  <c r="G250" i="19"/>
  <c r="F250" i="19"/>
  <c r="E250" i="19" s="1"/>
  <c r="H249" i="19"/>
  <c r="G249" i="19"/>
  <c r="F249" i="19"/>
  <c r="E249" i="19"/>
  <c r="H248" i="19"/>
  <c r="G248" i="19"/>
  <c r="F248" i="19"/>
  <c r="E248" i="19"/>
  <c r="H247" i="19"/>
  <c r="G247" i="19"/>
  <c r="F247" i="19"/>
  <c r="E247" i="19" s="1"/>
  <c r="H246" i="19"/>
  <c r="G246" i="19"/>
  <c r="F246" i="19"/>
  <c r="H241" i="19"/>
  <c r="G241" i="19"/>
  <c r="F241" i="19"/>
  <c r="E241" i="19"/>
  <c r="H240" i="19"/>
  <c r="G240" i="19"/>
  <c r="F240" i="19"/>
  <c r="E240" i="19"/>
  <c r="H239" i="19"/>
  <c r="G239" i="19"/>
  <c r="F239" i="19"/>
  <c r="E239" i="19"/>
  <c r="H238" i="19"/>
  <c r="G238" i="19"/>
  <c r="F238" i="19"/>
  <c r="H236" i="19"/>
  <c r="G236" i="19"/>
  <c r="F236" i="19"/>
  <c r="E236" i="19"/>
  <c r="H235" i="19"/>
  <c r="G235" i="19"/>
  <c r="F235" i="19"/>
  <c r="E235" i="19"/>
  <c r="H234" i="19"/>
  <c r="G234" i="19"/>
  <c r="F234" i="19"/>
  <c r="E234" i="19"/>
  <c r="H233" i="19"/>
  <c r="G233" i="19"/>
  <c r="F233" i="19"/>
  <c r="E233" i="19"/>
  <c r="H232" i="19"/>
  <c r="G232" i="19"/>
  <c r="F232" i="19"/>
  <c r="E232" i="19"/>
  <c r="H230" i="19"/>
  <c r="G230" i="19"/>
  <c r="F230" i="19"/>
  <c r="E230" i="19"/>
  <c r="H229" i="19"/>
  <c r="G229" i="19"/>
  <c r="F229" i="19"/>
  <c r="E229" i="19"/>
  <c r="H228" i="19"/>
  <c r="G228" i="19"/>
  <c r="F228" i="19"/>
  <c r="E228" i="19"/>
  <c r="H227" i="19"/>
  <c r="G227" i="19"/>
  <c r="F227" i="19"/>
  <c r="E227" i="19"/>
  <c r="H226" i="19"/>
  <c r="G226" i="19"/>
  <c r="F226" i="19"/>
  <c r="E226" i="19"/>
  <c r="H224" i="19"/>
  <c r="G224" i="19"/>
  <c r="F224" i="19"/>
  <c r="E224" i="19"/>
  <c r="H223" i="19"/>
  <c r="G223" i="19"/>
  <c r="F223" i="19"/>
  <c r="E223" i="19"/>
  <c r="H222" i="19"/>
  <c r="G222" i="19"/>
  <c r="F222" i="19"/>
  <c r="E222" i="19"/>
  <c r="H221" i="19"/>
  <c r="G221" i="19"/>
  <c r="F221" i="19"/>
  <c r="E221" i="19"/>
  <c r="H220" i="19"/>
  <c r="G220" i="19"/>
  <c r="F220" i="19"/>
  <c r="E220" i="19"/>
  <c r="H218" i="19"/>
  <c r="G218" i="19"/>
  <c r="F218" i="19"/>
  <c r="E218" i="19"/>
  <c r="H217" i="19"/>
  <c r="G217" i="19"/>
  <c r="F217" i="19"/>
  <c r="E217" i="19"/>
  <c r="H216" i="19"/>
  <c r="G216" i="19"/>
  <c r="F216" i="19"/>
  <c r="E216" i="19"/>
  <c r="H215" i="19"/>
  <c r="G215" i="19"/>
  <c r="F215" i="19"/>
  <c r="E215" i="19"/>
  <c r="H214" i="19"/>
  <c r="G214" i="19"/>
  <c r="F214" i="19"/>
  <c r="E214" i="19"/>
  <c r="H212" i="19"/>
  <c r="G212" i="19"/>
  <c r="F212" i="19"/>
  <c r="E212" i="19"/>
  <c r="H211" i="19"/>
  <c r="G211" i="19"/>
  <c r="F211" i="19"/>
  <c r="E211" i="19"/>
  <c r="H210" i="19"/>
  <c r="G210" i="19"/>
  <c r="F210" i="19"/>
  <c r="E210" i="19"/>
  <c r="H209" i="19"/>
  <c r="G209" i="19"/>
  <c r="F209" i="19"/>
  <c r="E209" i="19"/>
  <c r="H208" i="19"/>
  <c r="G208" i="19"/>
  <c r="F208" i="19"/>
  <c r="E208" i="19"/>
  <c r="H206" i="19"/>
  <c r="G206" i="19"/>
  <c r="F206" i="19"/>
  <c r="E206" i="19"/>
  <c r="H205" i="19"/>
  <c r="G205" i="19"/>
  <c r="F205" i="19"/>
  <c r="E205" i="19"/>
  <c r="H204" i="19"/>
  <c r="G204" i="19"/>
  <c r="F204" i="19"/>
  <c r="E204" i="19"/>
  <c r="H203" i="19"/>
  <c r="G203" i="19"/>
  <c r="F203" i="19"/>
  <c r="E203" i="19"/>
  <c r="H202" i="19"/>
  <c r="G202" i="19"/>
  <c r="F202" i="19"/>
  <c r="E202" i="19"/>
  <c r="H200" i="19"/>
  <c r="G200" i="19"/>
  <c r="F200" i="19"/>
  <c r="E200" i="19"/>
  <c r="H199" i="19"/>
  <c r="G199" i="19"/>
  <c r="F199" i="19"/>
  <c r="E199" i="19"/>
  <c r="H198" i="19"/>
  <c r="G198" i="19"/>
  <c r="F198" i="19"/>
  <c r="E198" i="19"/>
  <c r="H197" i="19"/>
  <c r="G197" i="19"/>
  <c r="F197" i="19"/>
  <c r="E197" i="19"/>
  <c r="H196" i="19"/>
  <c r="G196" i="19"/>
  <c r="F196" i="19"/>
  <c r="E196" i="19"/>
  <c r="H194" i="19"/>
  <c r="G194" i="19"/>
  <c r="F194" i="19"/>
  <c r="E194" i="19"/>
  <c r="H193" i="19"/>
  <c r="G193" i="19"/>
  <c r="F193" i="19"/>
  <c r="E193" i="19"/>
  <c r="H192" i="19"/>
  <c r="G192" i="19"/>
  <c r="F192" i="19"/>
  <c r="E192" i="19"/>
  <c r="H191" i="19"/>
  <c r="G191" i="19"/>
  <c r="F191" i="19"/>
  <c r="E191" i="19"/>
  <c r="H190" i="19"/>
  <c r="G190" i="19"/>
  <c r="F190" i="19"/>
  <c r="E190" i="19"/>
  <c r="H188" i="19"/>
  <c r="G188" i="19"/>
  <c r="F188" i="19"/>
  <c r="E188" i="19"/>
  <c r="H187" i="19"/>
  <c r="G187" i="19"/>
  <c r="F187" i="19"/>
  <c r="E187" i="19"/>
  <c r="H186" i="19"/>
  <c r="G186" i="19"/>
  <c r="F186" i="19"/>
  <c r="E186" i="19"/>
  <c r="H185" i="19"/>
  <c r="G185" i="19"/>
  <c r="F185" i="19"/>
  <c r="E185" i="19"/>
  <c r="H184" i="19"/>
  <c r="G184" i="19"/>
  <c r="F184" i="19"/>
  <c r="E184" i="19"/>
  <c r="H178" i="19"/>
  <c r="G178" i="19"/>
  <c r="F178" i="19"/>
  <c r="E178" i="19"/>
  <c r="H177" i="19"/>
  <c r="G177" i="19"/>
  <c r="F177" i="19"/>
  <c r="E177" i="19"/>
  <c r="H176" i="19"/>
  <c r="G176" i="19"/>
  <c r="F176" i="19"/>
  <c r="E176" i="19"/>
  <c r="H175" i="19"/>
  <c r="G175" i="19"/>
  <c r="F175" i="19"/>
  <c r="E175" i="19"/>
  <c r="H173" i="19"/>
  <c r="G173" i="19"/>
  <c r="F173" i="19"/>
  <c r="E173" i="19"/>
  <c r="H172" i="19"/>
  <c r="G172" i="19"/>
  <c r="F172" i="19"/>
  <c r="E172" i="19"/>
  <c r="H171" i="19"/>
  <c r="G171" i="19"/>
  <c r="F171" i="19"/>
  <c r="E171" i="19"/>
  <c r="H170" i="19"/>
  <c r="G170" i="19"/>
  <c r="F170" i="19"/>
  <c r="E170" i="19"/>
  <c r="H169" i="19"/>
  <c r="G169" i="19"/>
  <c r="F169" i="19"/>
  <c r="E169" i="19"/>
  <c r="H167" i="19"/>
  <c r="G167" i="19"/>
  <c r="F167" i="19"/>
  <c r="E167" i="19"/>
  <c r="H166" i="19"/>
  <c r="G166" i="19"/>
  <c r="F166" i="19"/>
  <c r="E166" i="19"/>
  <c r="H165" i="19"/>
  <c r="G165" i="19"/>
  <c r="F165" i="19"/>
  <c r="E165" i="19"/>
  <c r="H164" i="19"/>
  <c r="G164" i="19"/>
  <c r="F164" i="19"/>
  <c r="E164" i="19"/>
  <c r="H163" i="19"/>
  <c r="G163" i="19"/>
  <c r="F163" i="19"/>
  <c r="E163" i="19"/>
  <c r="H161" i="19"/>
  <c r="G161" i="19"/>
  <c r="F161" i="19"/>
  <c r="E161" i="19"/>
  <c r="H160" i="19"/>
  <c r="G160" i="19"/>
  <c r="F160" i="19"/>
  <c r="E160" i="19"/>
  <c r="H159" i="19"/>
  <c r="G159" i="19"/>
  <c r="F159" i="19"/>
  <c r="E159" i="19"/>
  <c r="H158" i="19"/>
  <c r="G158" i="19"/>
  <c r="F158" i="19"/>
  <c r="E158" i="19"/>
  <c r="H157" i="19"/>
  <c r="G157" i="19"/>
  <c r="F157" i="19"/>
  <c r="E157" i="19"/>
  <c r="H155" i="19"/>
  <c r="G155" i="19"/>
  <c r="F155" i="19"/>
  <c r="E155" i="19"/>
  <c r="H154" i="19"/>
  <c r="G154" i="19"/>
  <c r="F154" i="19"/>
  <c r="E154" i="19"/>
  <c r="H153" i="19"/>
  <c r="G153" i="19"/>
  <c r="F153" i="19"/>
  <c r="E153" i="19"/>
  <c r="H152" i="19"/>
  <c r="G152" i="19"/>
  <c r="F152" i="19"/>
  <c r="E152" i="19"/>
  <c r="H151" i="19"/>
  <c r="G151" i="19"/>
  <c r="F151" i="19"/>
  <c r="E151" i="19"/>
  <c r="H149" i="19"/>
  <c r="G149" i="19"/>
  <c r="F149" i="19"/>
  <c r="E149" i="19"/>
  <c r="H148" i="19"/>
  <c r="G148" i="19"/>
  <c r="F148" i="19"/>
  <c r="E148" i="19"/>
  <c r="H147" i="19"/>
  <c r="G147" i="19"/>
  <c r="F147" i="19"/>
  <c r="E147" i="19"/>
  <c r="H146" i="19"/>
  <c r="G146" i="19"/>
  <c r="F146" i="19"/>
  <c r="E146" i="19"/>
  <c r="H145" i="19"/>
  <c r="G145" i="19"/>
  <c r="F145" i="19"/>
  <c r="E145" i="19"/>
  <c r="H143" i="19"/>
  <c r="G143" i="19"/>
  <c r="F143" i="19"/>
  <c r="E143" i="19"/>
  <c r="H142" i="19"/>
  <c r="G142" i="19"/>
  <c r="F142" i="19"/>
  <c r="E142" i="19"/>
  <c r="H141" i="19"/>
  <c r="G141" i="19"/>
  <c r="F141" i="19"/>
  <c r="E141" i="19"/>
  <c r="H140" i="19"/>
  <c r="G140" i="19"/>
  <c r="F140" i="19"/>
  <c r="E140" i="19"/>
  <c r="H139" i="19"/>
  <c r="G139" i="19"/>
  <c r="F139" i="19"/>
  <c r="E139" i="19"/>
  <c r="H137" i="19"/>
  <c r="G137" i="19"/>
  <c r="F137" i="19"/>
  <c r="E137" i="19"/>
  <c r="H136" i="19"/>
  <c r="G136" i="19"/>
  <c r="F136" i="19"/>
  <c r="E136" i="19"/>
  <c r="H135" i="19"/>
  <c r="G135" i="19"/>
  <c r="F135" i="19"/>
  <c r="E135" i="19"/>
  <c r="H134" i="19"/>
  <c r="G134" i="19"/>
  <c r="F134" i="19"/>
  <c r="E134" i="19"/>
  <c r="H133" i="19"/>
  <c r="G133" i="19"/>
  <c r="F133" i="19"/>
  <c r="E133" i="19"/>
  <c r="H131" i="19"/>
  <c r="G131" i="19"/>
  <c r="F131" i="19"/>
  <c r="E131" i="19"/>
  <c r="H130" i="19"/>
  <c r="G130" i="19"/>
  <c r="F130" i="19"/>
  <c r="E130" i="19"/>
  <c r="H129" i="19"/>
  <c r="G129" i="19"/>
  <c r="F129" i="19"/>
  <c r="E129" i="19"/>
  <c r="H128" i="19"/>
  <c r="G128" i="19"/>
  <c r="F128" i="19"/>
  <c r="E128" i="19"/>
  <c r="H127" i="19"/>
  <c r="G127" i="19"/>
  <c r="F127" i="19"/>
  <c r="E127" i="19"/>
  <c r="H125" i="19"/>
  <c r="G125" i="19"/>
  <c r="F125" i="19"/>
  <c r="E125" i="19"/>
  <c r="H124" i="19"/>
  <c r="G124" i="19"/>
  <c r="F124" i="19"/>
  <c r="E124" i="19"/>
  <c r="H123" i="19"/>
  <c r="G123" i="19"/>
  <c r="F123" i="19"/>
  <c r="E123" i="19"/>
  <c r="H122" i="19"/>
  <c r="G122" i="19"/>
  <c r="F122" i="19"/>
  <c r="E122" i="19"/>
  <c r="H121" i="19"/>
  <c r="G121" i="19"/>
  <c r="F121" i="19"/>
  <c r="E121" i="19"/>
  <c r="H115" i="19"/>
  <c r="G115" i="19"/>
  <c r="F115" i="19"/>
  <c r="E115" i="19"/>
  <c r="H114" i="19"/>
  <c r="G114" i="19"/>
  <c r="F114" i="19"/>
  <c r="E114" i="19"/>
  <c r="H113" i="19"/>
  <c r="G113" i="19"/>
  <c r="F113" i="19"/>
  <c r="E113" i="19"/>
  <c r="H112" i="19"/>
  <c r="G112" i="19"/>
  <c r="F112" i="19"/>
  <c r="E112" i="19"/>
  <c r="H110" i="19"/>
  <c r="G110" i="19"/>
  <c r="F110" i="19"/>
  <c r="E110" i="19"/>
  <c r="H109" i="19"/>
  <c r="G109" i="19"/>
  <c r="F109" i="19"/>
  <c r="E109" i="19"/>
  <c r="H108" i="19"/>
  <c r="G108" i="19"/>
  <c r="F108" i="19"/>
  <c r="E108" i="19"/>
  <c r="H107" i="19"/>
  <c r="G107" i="19"/>
  <c r="F107" i="19"/>
  <c r="E107" i="19"/>
  <c r="H106" i="19"/>
  <c r="G106" i="19"/>
  <c r="F106" i="19"/>
  <c r="E106" i="19"/>
  <c r="H104" i="19"/>
  <c r="G104" i="19"/>
  <c r="F104" i="19"/>
  <c r="E104" i="19"/>
  <c r="H103" i="19"/>
  <c r="G103" i="19"/>
  <c r="F103" i="19"/>
  <c r="E103" i="19"/>
  <c r="H102" i="19"/>
  <c r="G102" i="19"/>
  <c r="F102" i="19"/>
  <c r="E102" i="19"/>
  <c r="H101" i="19"/>
  <c r="G101" i="19"/>
  <c r="F101" i="19"/>
  <c r="E101" i="19"/>
  <c r="H100" i="19"/>
  <c r="G100" i="19"/>
  <c r="F100" i="19"/>
  <c r="E100" i="19"/>
  <c r="H98" i="19"/>
  <c r="G98" i="19"/>
  <c r="F98" i="19"/>
  <c r="E98" i="19"/>
  <c r="H97" i="19"/>
  <c r="G97" i="19"/>
  <c r="F97" i="19"/>
  <c r="E97" i="19"/>
  <c r="H96" i="19"/>
  <c r="G96" i="19"/>
  <c r="F96" i="19"/>
  <c r="E96" i="19"/>
  <c r="H95" i="19"/>
  <c r="G95" i="19"/>
  <c r="F95" i="19"/>
  <c r="E95" i="19"/>
  <c r="H94" i="19"/>
  <c r="G94" i="19"/>
  <c r="F94" i="19"/>
  <c r="E94" i="19"/>
  <c r="H92" i="19"/>
  <c r="G92" i="19"/>
  <c r="F92" i="19"/>
  <c r="E92" i="19"/>
  <c r="H91" i="19"/>
  <c r="G91" i="19"/>
  <c r="F91" i="19"/>
  <c r="E91" i="19"/>
  <c r="H90" i="19"/>
  <c r="G90" i="19"/>
  <c r="F90" i="19"/>
  <c r="E90" i="19"/>
  <c r="H89" i="19"/>
  <c r="G89" i="19"/>
  <c r="F89" i="19"/>
  <c r="E89" i="19"/>
  <c r="H88" i="19"/>
  <c r="G88" i="19"/>
  <c r="F88" i="19"/>
  <c r="E88" i="19"/>
  <c r="H86" i="19"/>
  <c r="G86" i="19"/>
  <c r="F86" i="19"/>
  <c r="E86" i="19"/>
  <c r="H85" i="19"/>
  <c r="G85" i="19"/>
  <c r="F85" i="19"/>
  <c r="E85" i="19"/>
  <c r="H84" i="19"/>
  <c r="G84" i="19"/>
  <c r="F84" i="19"/>
  <c r="E84" i="19"/>
  <c r="H83" i="19"/>
  <c r="G83" i="19"/>
  <c r="F83" i="19"/>
  <c r="E83" i="19"/>
  <c r="H82" i="19"/>
  <c r="G82" i="19"/>
  <c r="F82" i="19"/>
  <c r="E82" i="19"/>
  <c r="H80" i="19"/>
  <c r="G80" i="19"/>
  <c r="F80" i="19"/>
  <c r="E80" i="19"/>
  <c r="H79" i="19"/>
  <c r="G79" i="19"/>
  <c r="F79" i="19"/>
  <c r="E79" i="19"/>
  <c r="H78" i="19"/>
  <c r="G78" i="19"/>
  <c r="F78" i="19"/>
  <c r="E78" i="19"/>
  <c r="H77" i="19"/>
  <c r="G77" i="19"/>
  <c r="F77" i="19"/>
  <c r="E77" i="19"/>
  <c r="H76" i="19"/>
  <c r="G76" i="19"/>
  <c r="F76" i="19"/>
  <c r="E76" i="19"/>
  <c r="H74" i="19"/>
  <c r="G74" i="19"/>
  <c r="F74" i="19"/>
  <c r="E74" i="19"/>
  <c r="H73" i="19"/>
  <c r="G73" i="19"/>
  <c r="F73" i="19"/>
  <c r="E73" i="19"/>
  <c r="H72" i="19"/>
  <c r="G72" i="19"/>
  <c r="F72" i="19"/>
  <c r="E72" i="19"/>
  <c r="H71" i="19"/>
  <c r="G71" i="19"/>
  <c r="F71" i="19"/>
  <c r="E71" i="19"/>
  <c r="H70" i="19"/>
  <c r="G70" i="19"/>
  <c r="F70" i="19"/>
  <c r="E70" i="19"/>
  <c r="H68" i="19"/>
  <c r="G68" i="19"/>
  <c r="F68" i="19"/>
  <c r="E68" i="19"/>
  <c r="H67" i="19"/>
  <c r="G67" i="19"/>
  <c r="F67" i="19"/>
  <c r="E67" i="19"/>
  <c r="H66" i="19"/>
  <c r="G66" i="19"/>
  <c r="F66" i="19"/>
  <c r="E66" i="19"/>
  <c r="H65" i="19"/>
  <c r="G65" i="19"/>
  <c r="F65" i="19"/>
  <c r="E65" i="19"/>
  <c r="H64" i="19"/>
  <c r="G64" i="19"/>
  <c r="F64" i="19"/>
  <c r="E64" i="19"/>
  <c r="H62" i="19"/>
  <c r="G62" i="19"/>
  <c r="F62" i="19"/>
  <c r="E62" i="19"/>
  <c r="H61" i="19"/>
  <c r="G61" i="19"/>
  <c r="F61" i="19"/>
  <c r="E61" i="19"/>
  <c r="H60" i="19"/>
  <c r="G60" i="19"/>
  <c r="F60" i="19"/>
  <c r="E60" i="19"/>
  <c r="H59" i="19"/>
  <c r="G59" i="19"/>
  <c r="F59" i="19"/>
  <c r="E59" i="19"/>
  <c r="H58" i="19"/>
  <c r="G58" i="19"/>
  <c r="F58" i="19"/>
  <c r="H52" i="19"/>
  <c r="G52" i="19"/>
  <c r="F52" i="19"/>
  <c r="E52" i="19" s="1"/>
  <c r="H51" i="19"/>
  <c r="G51" i="19"/>
  <c r="F51" i="19"/>
  <c r="E51" i="19"/>
  <c r="H49" i="19"/>
  <c r="G49" i="19"/>
  <c r="F49" i="19"/>
  <c r="E49" i="19"/>
  <c r="H48" i="19"/>
  <c r="G48" i="19"/>
  <c r="F48" i="19"/>
  <c r="E48" i="19" s="1"/>
  <c r="H47" i="19"/>
  <c r="G47" i="19"/>
  <c r="F47" i="19"/>
  <c r="E47" i="19"/>
  <c r="H46" i="19"/>
  <c r="G46" i="19"/>
  <c r="F46" i="19"/>
  <c r="E46" i="19"/>
  <c r="H45" i="19"/>
  <c r="G45" i="19"/>
  <c r="F45" i="19"/>
  <c r="E45" i="19" s="1"/>
  <c r="H43" i="19"/>
  <c r="G43" i="19"/>
  <c r="F43" i="19"/>
  <c r="E43" i="19"/>
  <c r="H42" i="19"/>
  <c r="G42" i="19"/>
  <c r="F42" i="19"/>
  <c r="E42" i="19"/>
  <c r="H41" i="19"/>
  <c r="G41" i="19"/>
  <c r="F41" i="19"/>
  <c r="E41" i="19" s="1"/>
  <c r="H40" i="19"/>
  <c r="G40" i="19"/>
  <c r="F40" i="19"/>
  <c r="E40" i="19" s="1"/>
  <c r="H39" i="19"/>
  <c r="G39" i="19"/>
  <c r="F39" i="19"/>
  <c r="E39" i="19"/>
  <c r="H37" i="19"/>
  <c r="G37" i="19"/>
  <c r="F37" i="19"/>
  <c r="E37" i="19" s="1"/>
  <c r="H36" i="19"/>
  <c r="G36" i="19"/>
  <c r="F36" i="19"/>
  <c r="E36" i="19"/>
  <c r="H35" i="19"/>
  <c r="G35" i="19"/>
  <c r="F35" i="19"/>
  <c r="E35" i="19"/>
  <c r="H34" i="19"/>
  <c r="G34" i="19"/>
  <c r="F34" i="19"/>
  <c r="E34" i="19" s="1"/>
  <c r="H33" i="19"/>
  <c r="G33" i="19"/>
  <c r="F33" i="19"/>
  <c r="E33" i="19"/>
  <c r="H31" i="19"/>
  <c r="G31" i="19"/>
  <c r="F31" i="19"/>
  <c r="E31" i="19"/>
  <c r="H30" i="19"/>
  <c r="G30" i="19"/>
  <c r="F30" i="19"/>
  <c r="E30" i="19" s="1"/>
  <c r="H29" i="19"/>
  <c r="G29" i="19"/>
  <c r="F29" i="19"/>
  <c r="E29" i="19"/>
  <c r="H28" i="19"/>
  <c r="G28" i="19"/>
  <c r="F28" i="19"/>
  <c r="H27" i="19"/>
  <c r="G27" i="19"/>
  <c r="F27" i="19"/>
  <c r="E27" i="19" s="1"/>
  <c r="H21" i="19"/>
  <c r="G21" i="19"/>
  <c r="F21" i="19"/>
  <c r="E21" i="19"/>
  <c r="H20" i="19"/>
  <c r="G20" i="19"/>
  <c r="F20" i="19"/>
  <c r="E20" i="19"/>
  <c r="H19" i="19"/>
  <c r="G19" i="19"/>
  <c r="F19" i="19"/>
  <c r="E19" i="19"/>
  <c r="H18" i="19"/>
  <c r="G18" i="19"/>
  <c r="F18" i="19"/>
  <c r="E18" i="19"/>
  <c r="H17" i="19"/>
  <c r="G17" i="19"/>
  <c r="F17" i="19"/>
  <c r="E17" i="19" s="1"/>
  <c r="H16" i="19"/>
  <c r="G16" i="19"/>
  <c r="F16" i="19"/>
  <c r="E16" i="19" s="1"/>
  <c r="H15" i="19"/>
  <c r="G15" i="19"/>
  <c r="F15" i="19"/>
  <c r="E15" i="19"/>
  <c r="H14" i="19"/>
  <c r="G14" i="19"/>
  <c r="F14" i="19"/>
  <c r="E14" i="19"/>
  <c r="H13" i="19"/>
  <c r="G13" i="19"/>
  <c r="F13" i="19"/>
  <c r="E13" i="19"/>
  <c r="F121" i="18"/>
  <c r="F120" i="18"/>
  <c r="F119" i="18"/>
  <c r="F118" i="18"/>
  <c r="F117" i="18"/>
  <c r="F116" i="18"/>
  <c r="F115" i="18"/>
  <c r="F114" i="18"/>
  <c r="F113" i="18"/>
  <c r="F112" i="18"/>
  <c r="F111" i="18"/>
  <c r="F110" i="18"/>
  <c r="F109" i="18"/>
  <c r="F108" i="18"/>
  <c r="F107" i="18"/>
  <c r="F106" i="18"/>
  <c r="F105" i="18"/>
  <c r="F104" i="18"/>
  <c r="F103" i="18"/>
  <c r="F102" i="18"/>
  <c r="F101" i="18"/>
  <c r="F99" i="18"/>
  <c r="F98" i="18"/>
  <c r="F97" i="18"/>
  <c r="F96" i="18"/>
  <c r="F95" i="18"/>
  <c r="F94" i="18"/>
  <c r="F93" i="18"/>
  <c r="F92" i="18"/>
  <c r="F91" i="18"/>
  <c r="F90" i="18"/>
  <c r="F89" i="18"/>
  <c r="F88" i="18"/>
  <c r="F87" i="18"/>
  <c r="F86" i="18"/>
  <c r="F85" i="18"/>
  <c r="F84" i="18"/>
  <c r="F83" i="18"/>
  <c r="F82" i="18"/>
  <c r="F81" i="18"/>
  <c r="F80" i="18"/>
  <c r="F79" i="18"/>
  <c r="F78" i="18"/>
  <c r="F77" i="18"/>
  <c r="F76" i="18"/>
  <c r="F75" i="18"/>
  <c r="F74" i="18"/>
  <c r="F73" i="18"/>
  <c r="F72" i="18"/>
  <c r="F71" i="18"/>
  <c r="F70" i="18"/>
  <c r="F69" i="18"/>
  <c r="F68" i="18"/>
  <c r="F67" i="18"/>
  <c r="F66" i="18"/>
  <c r="F65" i="18"/>
  <c r="F64" i="18"/>
  <c r="F63" i="18"/>
  <c r="F62" i="18"/>
  <c r="F61" i="18"/>
  <c r="F60" i="18"/>
  <c r="F59" i="18"/>
  <c r="F58" i="18"/>
  <c r="F57" i="18"/>
  <c r="F56" i="18"/>
  <c r="F55" i="18"/>
  <c r="F54" i="18"/>
  <c r="F53" i="18"/>
  <c r="F52" i="18"/>
  <c r="F51" i="18"/>
  <c r="F50" i="18"/>
  <c r="F49" i="18"/>
  <c r="F48" i="18"/>
  <c r="F47" i="18"/>
  <c r="F46" i="18"/>
  <c r="F45" i="18"/>
  <c r="F44" i="18"/>
  <c r="F43" i="18"/>
  <c r="F42" i="18"/>
  <c r="F41" i="18"/>
  <c r="F40" i="18"/>
  <c r="F39" i="18"/>
  <c r="F38" i="18"/>
  <c r="F37" i="18"/>
  <c r="F36" i="18"/>
  <c r="F35" i="18"/>
  <c r="F34" i="18"/>
  <c r="F33" i="18"/>
  <c r="F32" i="18"/>
  <c r="F31" i="18"/>
  <c r="F30" i="18"/>
  <c r="F29" i="18"/>
  <c r="F28" i="18"/>
  <c r="F27" i="18"/>
  <c r="F26" i="18"/>
  <c r="F25" i="18"/>
  <c r="F24" i="18"/>
  <c r="F23" i="18"/>
  <c r="F22" i="18"/>
  <c r="F21" i="18"/>
  <c r="F20" i="18"/>
  <c r="F19" i="18"/>
  <c r="F18" i="18"/>
  <c r="F17" i="18"/>
  <c r="F16" i="18"/>
  <c r="F15" i="18"/>
  <c r="F14" i="18"/>
  <c r="F13" i="18"/>
  <c r="F12" i="18"/>
  <c r="F11" i="18"/>
  <c r="F10" i="18"/>
  <c r="H12" i="17"/>
  <c r="G12" i="17"/>
  <c r="F12" i="17"/>
  <c r="E12" i="17"/>
  <c r="H11" i="17"/>
  <c r="G11" i="17"/>
  <c r="F11" i="17"/>
  <c r="E11" i="17" s="1"/>
  <c r="H10" i="17"/>
  <c r="H13" i="17" s="1"/>
  <c r="F11" i="12" s="1"/>
  <c r="G10" i="17"/>
  <c r="G13" i="17" s="1"/>
  <c r="E11" i="12" s="1"/>
  <c r="F10" i="17"/>
  <c r="F13" i="17" s="1"/>
  <c r="D11" i="12" s="1"/>
  <c r="H39" i="16"/>
  <c r="G39" i="16"/>
  <c r="F39" i="16"/>
  <c r="E39" i="16" s="1"/>
  <c r="H38" i="16"/>
  <c r="G38" i="16"/>
  <c r="F38" i="16"/>
  <c r="E38" i="16" s="1"/>
  <c r="H37" i="16"/>
  <c r="G37" i="16"/>
  <c r="F37" i="16"/>
  <c r="E37" i="16"/>
  <c r="H36" i="16"/>
  <c r="G36" i="16"/>
  <c r="F36" i="16"/>
  <c r="H35" i="16"/>
  <c r="G35" i="16"/>
  <c r="F35" i="16"/>
  <c r="E35" i="16" s="1"/>
  <c r="H34" i="16"/>
  <c r="G34" i="16"/>
  <c r="F34" i="16"/>
  <c r="E34" i="16" s="1"/>
  <c r="E40" i="16" s="1"/>
  <c r="H33" i="16"/>
  <c r="G33" i="16"/>
  <c r="F33" i="16"/>
  <c r="E33" i="16" s="1"/>
  <c r="H32" i="16"/>
  <c r="G32" i="16"/>
  <c r="F32" i="16"/>
  <c r="E32" i="16" s="1"/>
  <c r="H31" i="16"/>
  <c r="G31" i="16"/>
  <c r="F31" i="16"/>
  <c r="E31" i="16"/>
  <c r="H30" i="16"/>
  <c r="G30" i="16"/>
  <c r="F30" i="16"/>
  <c r="E30" i="16" s="1"/>
  <c r="H29" i="16"/>
  <c r="G29" i="16"/>
  <c r="F29" i="16"/>
  <c r="E29" i="16" s="1"/>
  <c r="H28" i="16"/>
  <c r="G28" i="16"/>
  <c r="F28" i="16"/>
  <c r="E28" i="16" s="1"/>
  <c r="H22" i="16"/>
  <c r="G22" i="16"/>
  <c r="F22" i="16"/>
  <c r="E22" i="16" s="1"/>
  <c r="H21" i="16"/>
  <c r="G21" i="16"/>
  <c r="E21" i="16" s="1"/>
  <c r="F21" i="16"/>
  <c r="H20" i="16"/>
  <c r="G20" i="16"/>
  <c r="F20" i="16"/>
  <c r="H19" i="16"/>
  <c r="G19" i="16"/>
  <c r="F19" i="16"/>
  <c r="E19" i="16" s="1"/>
  <c r="H18" i="16"/>
  <c r="G18" i="16"/>
  <c r="F18" i="16"/>
  <c r="H17" i="16"/>
  <c r="G17" i="16"/>
  <c r="F17" i="16"/>
  <c r="E17" i="16" s="1"/>
  <c r="H16" i="16"/>
  <c r="G16" i="16"/>
  <c r="F16" i="16"/>
  <c r="E16" i="16" s="1"/>
  <c r="H15" i="16"/>
  <c r="G15" i="16"/>
  <c r="F15" i="16"/>
  <c r="E15" i="16"/>
  <c r="H14" i="16"/>
  <c r="G14" i="16"/>
  <c r="F14" i="16"/>
  <c r="H13" i="16"/>
  <c r="G13" i="16"/>
  <c r="F13" i="16"/>
  <c r="E13" i="16" s="1"/>
  <c r="H12" i="16"/>
  <c r="G12" i="16"/>
  <c r="F12" i="16"/>
  <c r="E12" i="16"/>
  <c r="H11" i="16"/>
  <c r="G11" i="16"/>
  <c r="F11" i="16"/>
  <c r="H10" i="16"/>
  <c r="G10" i="16"/>
  <c r="F10" i="16"/>
  <c r="I28" i="15"/>
  <c r="H28" i="15"/>
  <c r="G28" i="15"/>
  <c r="F28" i="15" s="1"/>
  <c r="I27" i="15"/>
  <c r="H27" i="15"/>
  <c r="G27" i="15"/>
  <c r="F27" i="15" s="1"/>
  <c r="I26" i="15"/>
  <c r="H26" i="15"/>
  <c r="G26" i="15"/>
  <c r="F26" i="15"/>
  <c r="I25" i="15"/>
  <c r="H25" i="15"/>
  <c r="G25" i="15"/>
  <c r="F25" i="15" s="1"/>
  <c r="I24" i="15"/>
  <c r="H24" i="15"/>
  <c r="G24" i="15"/>
  <c r="F24" i="15" s="1"/>
  <c r="I23" i="15"/>
  <c r="H23" i="15"/>
  <c r="G23" i="15"/>
  <c r="F23" i="15" s="1"/>
  <c r="I22" i="15"/>
  <c r="H22" i="15"/>
  <c r="G22" i="15"/>
  <c r="I21" i="15"/>
  <c r="H21" i="15"/>
  <c r="G21" i="15"/>
  <c r="F21" i="15" s="1"/>
  <c r="I20" i="15"/>
  <c r="H20" i="15"/>
  <c r="G20" i="15"/>
  <c r="F20" i="15"/>
  <c r="I19" i="15"/>
  <c r="H19" i="15"/>
  <c r="G19" i="15"/>
  <c r="I18" i="15"/>
  <c r="H18" i="15"/>
  <c r="G18" i="15"/>
  <c r="F18" i="15" s="1"/>
  <c r="I17" i="15"/>
  <c r="H17" i="15"/>
  <c r="G17" i="15"/>
  <c r="F17" i="15"/>
  <c r="I16" i="15"/>
  <c r="H16" i="15"/>
  <c r="G16" i="15"/>
  <c r="F16" i="15" s="1"/>
  <c r="F29" i="15" s="1"/>
  <c r="I11" i="15"/>
  <c r="H11" i="15"/>
  <c r="G11" i="15"/>
  <c r="F11" i="15" s="1"/>
  <c r="I10" i="15"/>
  <c r="I12" i="15" s="1"/>
  <c r="H10" i="15"/>
  <c r="H12" i="15" s="1"/>
  <c r="G10" i="15"/>
  <c r="H75" i="14"/>
  <c r="G75" i="14"/>
  <c r="I75" i="14"/>
  <c r="E75" i="14"/>
  <c r="H74" i="14"/>
  <c r="G74" i="14"/>
  <c r="I74" i="14"/>
  <c r="H72" i="14"/>
  <c r="G72" i="14"/>
  <c r="E72" i="14" s="1"/>
  <c r="I72" i="14"/>
  <c r="H71" i="14"/>
  <c r="G71" i="14"/>
  <c r="E71" i="14" s="1"/>
  <c r="I71" i="14"/>
  <c r="H70" i="14"/>
  <c r="G70" i="14"/>
  <c r="E70" i="14" s="1"/>
  <c r="I70" i="14"/>
  <c r="H68" i="14"/>
  <c r="G68" i="14"/>
  <c r="I68" i="14"/>
  <c r="H67" i="14"/>
  <c r="G67" i="14"/>
  <c r="E67" i="14" s="1"/>
  <c r="I67" i="14"/>
  <c r="H66" i="14"/>
  <c r="G66" i="14"/>
  <c r="E66" i="14" s="1"/>
  <c r="I66" i="14"/>
  <c r="H65" i="14"/>
  <c r="G65" i="14"/>
  <c r="E65" i="14" s="1"/>
  <c r="I65" i="14"/>
  <c r="H64" i="14"/>
  <c r="G64" i="14"/>
  <c r="E64" i="14" s="1"/>
  <c r="I64" i="14"/>
  <c r="H63" i="14"/>
  <c r="G63" i="14"/>
  <c r="E63" i="14" s="1"/>
  <c r="I63" i="14"/>
  <c r="H62" i="14"/>
  <c r="E62" i="14"/>
  <c r="I62" i="14"/>
  <c r="H61" i="14"/>
  <c r="G61" i="14"/>
  <c r="I61" i="14"/>
  <c r="H55" i="14"/>
  <c r="G55" i="14"/>
  <c r="F55" i="14"/>
  <c r="H54" i="14"/>
  <c r="G54" i="14"/>
  <c r="F54" i="14"/>
  <c r="E54" i="14" s="1"/>
  <c r="H53" i="14"/>
  <c r="G53" i="14"/>
  <c r="F53" i="14"/>
  <c r="H52" i="14"/>
  <c r="G52" i="14"/>
  <c r="F52" i="14"/>
  <c r="E52" i="14" s="1"/>
  <c r="H51" i="14"/>
  <c r="G51" i="14"/>
  <c r="F51" i="14"/>
  <c r="E51" i="14"/>
  <c r="H50" i="14"/>
  <c r="G50" i="14"/>
  <c r="F50" i="14"/>
  <c r="H49" i="14"/>
  <c r="G49" i="14"/>
  <c r="F49" i="14"/>
  <c r="E49" i="14" s="1"/>
  <c r="H48" i="14"/>
  <c r="G48" i="14"/>
  <c r="E48" i="14"/>
  <c r="H47" i="14"/>
  <c r="G47" i="14"/>
  <c r="E47" i="14"/>
  <c r="H46" i="14"/>
  <c r="G46" i="14"/>
  <c r="E46" i="14" s="1"/>
  <c r="H40" i="14"/>
  <c r="G40" i="14"/>
  <c r="F40" i="14"/>
  <c r="E40" i="14" s="1"/>
  <c r="H39" i="14"/>
  <c r="G39" i="14"/>
  <c r="F39" i="14"/>
  <c r="E39" i="14" s="1"/>
  <c r="H38" i="14"/>
  <c r="G38" i="14"/>
  <c r="F38" i="14"/>
  <c r="E38" i="14" s="1"/>
  <c r="H37" i="14"/>
  <c r="G37" i="14"/>
  <c r="F37" i="14"/>
  <c r="E37" i="14" s="1"/>
  <c r="H36" i="14"/>
  <c r="G36" i="14"/>
  <c r="F36" i="14"/>
  <c r="E36" i="14" s="1"/>
  <c r="H35" i="14"/>
  <c r="G35" i="14"/>
  <c r="F35" i="14"/>
  <c r="H34" i="14"/>
  <c r="G34" i="14"/>
  <c r="F34" i="14"/>
  <c r="H33" i="14"/>
  <c r="G33" i="14"/>
  <c r="F33" i="14"/>
  <c r="E33" i="14" s="1"/>
  <c r="H32" i="14"/>
  <c r="G32" i="14"/>
  <c r="F32" i="14"/>
  <c r="E32" i="14"/>
  <c r="H31" i="14"/>
  <c r="G31" i="14"/>
  <c r="F31" i="14"/>
  <c r="E31" i="14" s="1"/>
  <c r="H29" i="14"/>
  <c r="G29" i="14"/>
  <c r="F29" i="14"/>
  <c r="E29" i="14" s="1"/>
  <c r="H28" i="14"/>
  <c r="G28" i="14"/>
  <c r="F28" i="14"/>
  <c r="E28" i="14"/>
  <c r="H27" i="14"/>
  <c r="G27" i="14"/>
  <c r="F27" i="14"/>
  <c r="H26" i="14"/>
  <c r="G26" i="14"/>
  <c r="F26" i="14"/>
  <c r="E26" i="14" s="1"/>
  <c r="H25" i="14"/>
  <c r="G25" i="14"/>
  <c r="F25" i="14"/>
  <c r="E25" i="14"/>
  <c r="H24" i="14"/>
  <c r="G24" i="14"/>
  <c r="F24" i="14"/>
  <c r="E24" i="14" s="1"/>
  <c r="H23" i="14"/>
  <c r="G23" i="14"/>
  <c r="F23" i="14"/>
  <c r="E23" i="14" s="1"/>
  <c r="H22" i="14"/>
  <c r="G22" i="14"/>
  <c r="F22" i="14"/>
  <c r="E22" i="14"/>
  <c r="H21" i="14"/>
  <c r="G21" i="14"/>
  <c r="F21" i="14"/>
  <c r="E21" i="14" s="1"/>
  <c r="H20" i="14"/>
  <c r="G20" i="14"/>
  <c r="F20" i="14"/>
  <c r="E20" i="14" s="1"/>
  <c r="H18" i="14"/>
  <c r="G18" i="14"/>
  <c r="F18" i="14"/>
  <c r="E18" i="14"/>
  <c r="H17" i="14"/>
  <c r="G17" i="14"/>
  <c r="F17" i="14"/>
  <c r="E17" i="14" s="1"/>
  <c r="H16" i="14"/>
  <c r="G16" i="14"/>
  <c r="F16" i="14"/>
  <c r="E16" i="14" s="1"/>
  <c r="H15" i="14"/>
  <c r="G15" i="14"/>
  <c r="F15" i="14"/>
  <c r="F12" i="12"/>
  <c r="E12" i="12"/>
  <c r="D12" i="12"/>
  <c r="E18" i="16" l="1"/>
  <c r="E71" i="23"/>
  <c r="E83" i="23"/>
  <c r="E41" i="23"/>
  <c r="E54" i="22"/>
  <c r="E40" i="22"/>
  <c r="E39" i="22"/>
  <c r="E36" i="22"/>
  <c r="E33" i="22"/>
  <c r="E30" i="22"/>
  <c r="E24" i="22"/>
  <c r="E21" i="22"/>
  <c r="E19" i="22"/>
  <c r="E18" i="22"/>
  <c r="E15" i="22"/>
  <c r="E19" i="21"/>
  <c r="E16" i="21"/>
  <c r="E13" i="21"/>
  <c r="G21" i="21"/>
  <c r="E370" i="20"/>
  <c r="E354" i="20"/>
  <c r="E329" i="20"/>
  <c r="E332" i="20" s="1"/>
  <c r="E321" i="20"/>
  <c r="G324" i="20"/>
  <c r="E315" i="20"/>
  <c r="E301" i="20"/>
  <c r="E298" i="20"/>
  <c r="E295" i="20"/>
  <c r="E291" i="20"/>
  <c r="E290" i="20"/>
  <c r="E288" i="20"/>
  <c r="E285" i="20"/>
  <c r="E278" i="20"/>
  <c r="E275" i="20"/>
  <c r="E271" i="20"/>
  <c r="E269" i="20"/>
  <c r="E266" i="20"/>
  <c r="E261" i="20"/>
  <c r="E258" i="20"/>
  <c r="E255" i="20"/>
  <c r="F280" i="20"/>
  <c r="E248" i="20"/>
  <c r="E245" i="20"/>
  <c r="E242" i="20"/>
  <c r="E239" i="20"/>
  <c r="E238" i="20"/>
  <c r="E236" i="20"/>
  <c r="G250" i="20"/>
  <c r="E226" i="20"/>
  <c r="E208" i="20"/>
  <c r="E196" i="20"/>
  <c r="E192" i="20"/>
  <c r="E146" i="20"/>
  <c r="E113" i="20"/>
  <c r="E109" i="20"/>
  <c r="E98" i="20"/>
  <c r="E99" i="20"/>
  <c r="E94" i="20"/>
  <c r="E87" i="20"/>
  <c r="E83" i="20"/>
  <c r="E80" i="20"/>
  <c r="E76" i="20"/>
  <c r="E73" i="20"/>
  <c r="E69" i="20"/>
  <c r="E65" i="20"/>
  <c r="E59" i="20"/>
  <c r="E55" i="20"/>
  <c r="E51" i="20"/>
  <c r="H102" i="20"/>
  <c r="E41" i="20"/>
  <c r="E37" i="20"/>
  <c r="E34" i="20"/>
  <c r="E27" i="20"/>
  <c r="E23" i="20"/>
  <c r="E13" i="20"/>
  <c r="E336" i="19"/>
  <c r="E328" i="19"/>
  <c r="E321" i="19"/>
  <c r="G329" i="19"/>
  <c r="E315" i="19"/>
  <c r="F315" i="19"/>
  <c r="G315" i="19"/>
  <c r="E61" i="14"/>
  <c r="E76" i="14" s="1"/>
  <c r="E246" i="19"/>
  <c r="E58" i="19"/>
  <c r="E116" i="19" s="1"/>
  <c r="E10" i="16"/>
  <c r="G23" i="16"/>
  <c r="H23" i="16"/>
  <c r="E33" i="23"/>
  <c r="E35" i="22"/>
  <c r="E367" i="20"/>
  <c r="E246" i="20"/>
  <c r="E159" i="20"/>
  <c r="E115" i="20"/>
  <c r="E325" i="19"/>
  <c r="H292" i="19"/>
  <c r="E262" i="19"/>
  <c r="G242" i="19"/>
  <c r="E238" i="19"/>
  <c r="F242" i="19"/>
  <c r="F122" i="18"/>
  <c r="C12" i="12" s="1"/>
  <c r="C21" i="12" s="1"/>
  <c r="E68" i="14"/>
  <c r="I76" i="14"/>
  <c r="H76" i="14"/>
  <c r="H10" i="14" s="1"/>
  <c r="G76" i="14"/>
  <c r="I10" i="14"/>
  <c r="G56" i="14"/>
  <c r="H56" i="14"/>
  <c r="H58" i="23"/>
  <c r="F58" i="23"/>
  <c r="F10" i="23" s="1"/>
  <c r="D29" i="12" s="1"/>
  <c r="F60" i="22"/>
  <c r="H60" i="22"/>
  <c r="E45" i="22"/>
  <c r="E47" i="22" s="1"/>
  <c r="F41" i="22"/>
  <c r="G41" i="22"/>
  <c r="H25" i="22"/>
  <c r="F25" i="22"/>
  <c r="E25" i="21"/>
  <c r="E27" i="21" s="1"/>
  <c r="G27" i="21"/>
  <c r="E15" i="12" s="1"/>
  <c r="E376" i="20"/>
  <c r="E377" i="20" s="1"/>
  <c r="G332" i="20"/>
  <c r="E322" i="20"/>
  <c r="E314" i="20"/>
  <c r="E316" i="20" s="1"/>
  <c r="E259" i="20"/>
  <c r="E235" i="20"/>
  <c r="E250" i="20" s="1"/>
  <c r="F226" i="20"/>
  <c r="G226" i="20"/>
  <c r="H226" i="20"/>
  <c r="E213" i="20"/>
  <c r="E30" i="20"/>
  <c r="E338" i="19"/>
  <c r="F338" i="19"/>
  <c r="G338" i="19"/>
  <c r="F329" i="19"/>
  <c r="E301" i="19"/>
  <c r="G301" i="19"/>
  <c r="H301" i="19"/>
  <c r="F283" i="19"/>
  <c r="G283" i="19"/>
  <c r="H283" i="19"/>
  <c r="E242" i="19"/>
  <c r="G179" i="19"/>
  <c r="H179" i="19"/>
  <c r="F116" i="19"/>
  <c r="G116" i="19"/>
  <c r="H116" i="19"/>
  <c r="F53" i="19"/>
  <c r="E28" i="19"/>
  <c r="H53" i="19"/>
  <c r="G40" i="16"/>
  <c r="E11" i="16"/>
  <c r="E23" i="16" s="1"/>
  <c r="H29" i="15"/>
  <c r="E9" i="12" s="1"/>
  <c r="E35" i="14"/>
  <c r="H41" i="14"/>
  <c r="E15" i="14"/>
  <c r="E41" i="14" s="1"/>
  <c r="E329" i="19"/>
  <c r="G9" i="21"/>
  <c r="E53" i="19"/>
  <c r="F40" i="16"/>
  <c r="H280" i="20"/>
  <c r="F160" i="20"/>
  <c r="F23" i="16"/>
  <c r="E51" i="22"/>
  <c r="E60" i="22" s="1"/>
  <c r="G60" i="22"/>
  <c r="F56" i="14"/>
  <c r="E34" i="14"/>
  <c r="F41" i="14"/>
  <c r="E20" i="16"/>
  <c r="E270" i="19"/>
  <c r="E274" i="19"/>
  <c r="G16" i="20"/>
  <c r="E62" i="20"/>
  <c r="E276" i="20"/>
  <c r="E366" i="20"/>
  <c r="E31" i="22"/>
  <c r="E41" i="22" s="1"/>
  <c r="H40" i="16"/>
  <c r="G41" i="14"/>
  <c r="E53" i="14"/>
  <c r="F22" i="15"/>
  <c r="G29" i="15"/>
  <c r="E22" i="19"/>
  <c r="F270" i="19"/>
  <c r="H329" i="19"/>
  <c r="F16" i="20"/>
  <c r="E58" i="20"/>
  <c r="E101" i="20"/>
  <c r="E216" i="20"/>
  <c r="E272" i="20"/>
  <c r="G377" i="20"/>
  <c r="I29" i="15"/>
  <c r="F9" i="12" s="1"/>
  <c r="F301" i="19"/>
  <c r="H160" i="20"/>
  <c r="E165" i="20"/>
  <c r="G218" i="20"/>
  <c r="F10" i="15"/>
  <c r="F12" i="15" s="1"/>
  <c r="C9" i="12" s="1"/>
  <c r="G12" i="15"/>
  <c r="F22" i="19"/>
  <c r="G270" i="19"/>
  <c r="E16" i="20"/>
  <c r="G280" i="20"/>
  <c r="E22" i="22"/>
  <c r="E25" i="22" s="1"/>
  <c r="H218" i="20"/>
  <c r="E50" i="14"/>
  <c r="E56" i="14" s="1"/>
  <c r="G160" i="20"/>
  <c r="F218" i="20"/>
  <c r="F250" i="20"/>
  <c r="E20" i="21"/>
  <c r="E21" i="21" s="1"/>
  <c r="G25" i="22"/>
  <c r="E53" i="23"/>
  <c r="G372" i="20"/>
  <c r="F102" i="20"/>
  <c r="H372" i="20"/>
  <c r="F21" i="21"/>
  <c r="E287" i="20"/>
  <c r="F310" i="20"/>
  <c r="F372" i="20"/>
  <c r="H242" i="19"/>
  <c r="F19" i="15"/>
  <c r="G22" i="19"/>
  <c r="G53" i="19"/>
  <c r="H270" i="19"/>
  <c r="E27" i="14"/>
  <c r="G10" i="14"/>
  <c r="E74" i="14"/>
  <c r="E14" i="16"/>
  <c r="E36" i="16"/>
  <c r="H22" i="19"/>
  <c r="F179" i="19"/>
  <c r="E292" i="19"/>
  <c r="H315" i="19"/>
  <c r="E91" i="20"/>
  <c r="E353" i="20"/>
  <c r="F97" i="23"/>
  <c r="F324" i="20"/>
  <c r="E28" i="23"/>
  <c r="H97" i="23"/>
  <c r="E10" i="17"/>
  <c r="E13" i="17" s="1"/>
  <c r="C11" i="12" s="1"/>
  <c r="E145" i="20"/>
  <c r="E191" i="20"/>
  <c r="H250" i="20"/>
  <c r="E352" i="20"/>
  <c r="H27" i="21"/>
  <c r="H41" i="22"/>
  <c r="H9" i="22" s="1"/>
  <c r="G58" i="23"/>
  <c r="E336" i="20"/>
  <c r="E339" i="20" s="1"/>
  <c r="E138" i="20"/>
  <c r="E184" i="20"/>
  <c r="E308" i="20"/>
  <c r="H316" i="20"/>
  <c r="E346" i="20"/>
  <c r="E372" i="20" s="1"/>
  <c r="E70" i="23"/>
  <c r="E324" i="20"/>
  <c r="E134" i="20"/>
  <c r="E180" i="20"/>
  <c r="E67" i="23"/>
  <c r="G97" i="23"/>
  <c r="H310" i="20"/>
  <c r="G310" i="20"/>
  <c r="E131" i="20"/>
  <c r="E160" i="20" s="1"/>
  <c r="E177" i="20"/>
  <c r="H339" i="20"/>
  <c r="H21" i="21"/>
  <c r="E64" i="23"/>
  <c r="E97" i="23" s="1"/>
  <c r="E58" i="23" l="1"/>
  <c r="E10" i="23" s="1"/>
  <c r="E310" i="20"/>
  <c r="E102" i="20"/>
  <c r="C13" i="12"/>
  <c r="D9" i="12"/>
  <c r="C10" i="12"/>
  <c r="C22" i="12" s="1"/>
  <c r="D10" i="12"/>
  <c r="D22" i="12" s="1"/>
  <c r="F10" i="12"/>
  <c r="F22" i="12" s="1"/>
  <c r="E10" i="12"/>
  <c r="E22" i="12" s="1"/>
  <c r="D16" i="12"/>
  <c r="F9" i="22"/>
  <c r="F16" i="12"/>
  <c r="E9" i="22"/>
  <c r="E280" i="20"/>
  <c r="E9" i="19"/>
  <c r="E10" i="14"/>
  <c r="C29" i="12" s="1"/>
  <c r="F8" i="12"/>
  <c r="H9" i="14"/>
  <c r="E9" i="23"/>
  <c r="C17" i="12"/>
  <c r="E9" i="14"/>
  <c r="F17" i="12"/>
  <c r="H9" i="23"/>
  <c r="E17" i="12"/>
  <c r="G9" i="23"/>
  <c r="F9" i="21"/>
  <c r="D15" i="12"/>
  <c r="C16" i="12"/>
  <c r="D8" i="12"/>
  <c r="F9" i="14"/>
  <c r="F13" i="12"/>
  <c r="H9" i="19"/>
  <c r="E218" i="20"/>
  <c r="E16" i="12"/>
  <c r="G9" i="22"/>
  <c r="E8" i="12"/>
  <c r="G9" i="14"/>
  <c r="H9" i="21"/>
  <c r="F15" i="12"/>
  <c r="C15" i="12"/>
  <c r="E9" i="21"/>
  <c r="F11" i="23"/>
  <c r="D30" i="12" s="1"/>
  <c r="E11" i="23"/>
  <c r="C30" i="12" s="1"/>
  <c r="D17" i="12"/>
  <c r="F9" i="23"/>
  <c r="G9" i="19"/>
  <c r="E13" i="12"/>
  <c r="D13" i="12"/>
  <c r="F9" i="19"/>
  <c r="C8" i="12" l="1"/>
  <c r="G24" i="20"/>
  <c r="H24" i="20"/>
  <c r="H44" i="20" s="1"/>
  <c r="H9" i="20" s="1"/>
  <c r="F14" i="12" s="1"/>
  <c r="F24" i="20"/>
  <c r="F44" i="20" s="1"/>
  <c r="F9" i="20" s="1"/>
  <c r="D14" i="12" s="1"/>
  <c r="D23" i="12" s="1"/>
  <c r="F20" i="12" l="1"/>
  <c r="F23" i="12"/>
  <c r="D20" i="12"/>
  <c r="E24" i="20"/>
  <c r="E44" i="20" s="1"/>
  <c r="E9" i="20" s="1"/>
  <c r="C14" i="12" s="1"/>
  <c r="C23" i="12" s="1"/>
  <c r="G44" i="20"/>
  <c r="G9" i="20" s="1"/>
  <c r="E14" i="12" s="1"/>
  <c r="E23" i="12" s="1"/>
  <c r="E20" i="12" l="1"/>
  <c r="C20" i="12"/>
</calcChain>
</file>

<file path=xl/sharedStrings.xml><?xml version="1.0" encoding="utf-8"?>
<sst xmlns="http://schemas.openxmlformats.org/spreadsheetml/2006/main" count="4172" uniqueCount="1710">
  <si>
    <t>Ministry for the Environment Measuring Emissions Guidance 2024 - Interactive Workbook</t>
  </si>
  <si>
    <t>Introduction to emission factors and how to use the worksheets</t>
  </si>
  <si>
    <t>How to use the worksheets</t>
  </si>
  <si>
    <t>Complete the worksheets by inputting information that is relevant to your organisation. The colomns labelled "Your Input" is where you are required to put your data, in the units specified in column "unit" in order for the calculations to work properly.</t>
  </si>
  <si>
    <t>Key</t>
  </si>
  <si>
    <t> </t>
  </si>
  <si>
    <t>Cells requiring data to be input in the units specified</t>
  </si>
  <si>
    <t>Cells containing a formula</t>
  </si>
  <si>
    <r>
      <t xml:space="preserve">Reporting requirements of </t>
    </r>
    <r>
      <rPr>
        <b/>
        <i/>
        <sz val="11"/>
        <color rgb="FFFFFFFF"/>
        <rFont val="Calibri"/>
        <family val="2"/>
      </rPr>
      <t>ISO 14064-1</t>
    </r>
    <r>
      <rPr>
        <b/>
        <sz val="11"/>
        <color rgb="FFFFFFFF"/>
        <rFont val="Calibri"/>
        <family val="2"/>
      </rPr>
      <t xml:space="preserve"> and </t>
    </r>
    <r>
      <rPr>
        <b/>
        <i/>
        <sz val="11"/>
        <color rgb="FFFFFFFF"/>
        <rFont val="Calibri"/>
        <family val="2"/>
      </rPr>
      <t xml:space="preserve">The GHG Protocol </t>
    </r>
  </si>
  <si>
    <r>
      <t xml:space="preserve">In line with the reporting requirements of </t>
    </r>
    <r>
      <rPr>
        <i/>
        <sz val="11"/>
        <color rgb="FF000000"/>
        <rFont val="Calibri"/>
        <family val="2"/>
      </rPr>
      <t>ISO 14064-1, ISAE (NZ) 3410,</t>
    </r>
    <r>
      <rPr>
        <sz val="11"/>
        <color rgb="FF000000"/>
        <rFont val="Calibri"/>
        <family val="2"/>
      </rPr>
      <t xml:space="preserve"> and t</t>
    </r>
    <r>
      <rPr>
        <i/>
        <sz val="11"/>
        <color rgb="FF000000"/>
        <rFont val="Calibri"/>
        <family val="2"/>
      </rPr>
      <t>he GHG Protocol</t>
    </r>
    <r>
      <rPr>
        <sz val="11"/>
        <color rgb="FF000000"/>
        <rFont val="Calibri"/>
        <family val="2"/>
      </rPr>
      <t>, emission factors are provided to allow separate calculation of carbon dioxide (CO</t>
    </r>
    <r>
      <rPr>
        <vertAlign val="subscript"/>
        <sz val="11"/>
        <color rgb="FF000000"/>
        <rFont val="Calibri"/>
        <family val="2"/>
      </rPr>
      <t>2</t>
    </r>
    <r>
      <rPr>
        <sz val="11"/>
        <color rgb="FF000000"/>
        <rFont val="Calibri"/>
        <family val="2"/>
      </rPr>
      <t>), methane (CH</t>
    </r>
    <r>
      <rPr>
        <vertAlign val="subscript"/>
        <sz val="11"/>
        <color rgb="FF000000"/>
        <rFont val="Calibri"/>
        <family val="2"/>
      </rPr>
      <t>4</t>
    </r>
    <r>
      <rPr>
        <sz val="11"/>
        <color rgb="FF000000"/>
        <rFont val="Calibri"/>
        <family val="2"/>
      </rPr>
      <t>) and nitrous oxide (N</t>
    </r>
    <r>
      <rPr>
        <vertAlign val="subscript"/>
        <sz val="11"/>
        <color rgb="FF000000"/>
        <rFont val="Calibri"/>
        <family val="2"/>
      </rPr>
      <t>2</t>
    </r>
    <r>
      <rPr>
        <sz val="11"/>
        <color rgb="FF000000"/>
        <rFont val="Calibri"/>
        <family val="2"/>
      </rPr>
      <t>O), as well as the total CO</t>
    </r>
    <r>
      <rPr>
        <vertAlign val="subscript"/>
        <sz val="11"/>
        <color rgb="FF000000"/>
        <rFont val="Calibri"/>
        <family val="2"/>
      </rPr>
      <t>2</t>
    </r>
    <r>
      <rPr>
        <sz val="11"/>
        <color rgb="FF000000"/>
        <rFont val="Calibri"/>
        <family val="2"/>
      </rPr>
      <t xml:space="preserve"> equivalent.</t>
    </r>
  </si>
  <si>
    <t>Global Warming Potentials</t>
  </si>
  <si>
    <r>
      <t>All emission factors in the guide are expressed in units of carbon dioxide equivalent (CO</t>
    </r>
    <r>
      <rPr>
        <vertAlign val="subscript"/>
        <sz val="11"/>
        <color rgb="FF000000"/>
        <rFont val="Calibri"/>
        <family val="2"/>
        <scheme val="minor"/>
      </rPr>
      <t>2</t>
    </r>
    <r>
      <rPr>
        <sz val="11"/>
        <color rgb="FF000000"/>
        <rFont val="Calibri"/>
        <family val="2"/>
        <scheme val="minor"/>
      </rPr>
      <t xml:space="preserve">-e); this is in line with The GHG Protocol. The Global Warming Potentials (GWPs) used are those from the IPCC, 2014, Fifth Assessment Report. The use of these values are in line with the United Nations Framework Convention on Climate Change (UNFCCC), to which the New Zealand National Inventory Report is submitted. </t>
    </r>
  </si>
  <si>
    <t>Greenhouse Gas</t>
  </si>
  <si>
    <r>
      <t>CO</t>
    </r>
    <r>
      <rPr>
        <vertAlign val="subscript"/>
        <sz val="11"/>
        <color rgb="FF000000"/>
        <rFont val="Calibri"/>
        <family val="2"/>
      </rPr>
      <t>2</t>
    </r>
  </si>
  <si>
    <r>
      <t>CH</t>
    </r>
    <r>
      <rPr>
        <vertAlign val="subscript"/>
        <sz val="11"/>
        <color rgb="FF000000"/>
        <rFont val="Calibri"/>
        <family val="2"/>
      </rPr>
      <t>4</t>
    </r>
  </si>
  <si>
    <r>
      <t>N</t>
    </r>
    <r>
      <rPr>
        <vertAlign val="subscript"/>
        <sz val="11"/>
        <color rgb="FF000000"/>
        <rFont val="Calibri"/>
        <family val="2"/>
      </rPr>
      <t>2</t>
    </r>
    <r>
      <rPr>
        <sz val="11"/>
        <color rgb="FF000000"/>
        <rFont val="Calibri"/>
        <family val="2"/>
      </rPr>
      <t>O</t>
    </r>
  </si>
  <si>
    <r>
      <t>This Workbook is part of a suite of documents that comprise the Measuring Emissions Guidance – 2024, as outlined in figure 1 below.</t>
    </r>
    <r>
      <rPr>
        <b/>
        <sz val="11"/>
        <color rgb="FF000000"/>
        <rFont val="Calibri"/>
        <family val="2"/>
      </rPr>
      <t xml:space="preserve">
Figure 1: Documents in </t>
    </r>
    <r>
      <rPr>
        <b/>
        <i/>
        <sz val="11"/>
        <color rgb="FF000000"/>
        <rFont val="Calibri"/>
        <family val="2"/>
      </rPr>
      <t>Measuring Emissions: A Guide for Organisations</t>
    </r>
  </si>
  <si>
    <t>Summary of total emissions</t>
  </si>
  <si>
    <t>The following tables detail your total emissions based on your inputs in the other workbook tabs. Total emissions are all of the emissions from anthropogenic sources.</t>
  </si>
  <si>
    <t>Total calculated emissions based on user input into worksheets</t>
  </si>
  <si>
    <t>Default Scope</t>
  </si>
  <si>
    <t>Emission Source</t>
  </si>
  <si>
    <r>
      <t>kg CO</t>
    </r>
    <r>
      <rPr>
        <b/>
        <vertAlign val="subscript"/>
        <sz val="11"/>
        <color rgb="FF000000"/>
        <rFont val="Calibri"/>
        <family val="2"/>
      </rPr>
      <t>2</t>
    </r>
    <r>
      <rPr>
        <b/>
        <sz val="11"/>
        <color rgb="FF000000"/>
        <rFont val="Calibri"/>
        <family val="2"/>
      </rPr>
      <t>-e</t>
    </r>
  </si>
  <si>
    <r>
      <t>CO</t>
    </r>
    <r>
      <rPr>
        <b/>
        <vertAlign val="subscript"/>
        <sz val="11"/>
        <color rgb="FF000000"/>
        <rFont val="Calibri"/>
        <family val="2"/>
      </rPr>
      <t xml:space="preserve">2 </t>
    </r>
    <r>
      <rPr>
        <b/>
        <sz val="11"/>
        <color rgb="FF000000"/>
        <rFont val="Calibri"/>
        <family val="2"/>
      </rPr>
      <t>(kg CO</t>
    </r>
    <r>
      <rPr>
        <b/>
        <vertAlign val="subscript"/>
        <sz val="11"/>
        <color rgb="FF000000"/>
        <rFont val="Calibri"/>
        <family val="2"/>
      </rPr>
      <t>2</t>
    </r>
    <r>
      <rPr>
        <b/>
        <sz val="11"/>
        <color rgb="FF000000"/>
        <rFont val="Calibri"/>
        <family val="2"/>
      </rPr>
      <t>)</t>
    </r>
  </si>
  <si>
    <r>
      <t>CH</t>
    </r>
    <r>
      <rPr>
        <b/>
        <vertAlign val="subscript"/>
        <sz val="11"/>
        <color rgb="FF000000"/>
        <rFont val="Calibri"/>
        <family val="2"/>
      </rPr>
      <t>4</t>
    </r>
    <r>
      <rPr>
        <b/>
        <sz val="11"/>
        <color rgb="FF000000"/>
        <rFont val="Calibri"/>
        <family val="2"/>
      </rPr>
      <t xml:space="preserve"> (kg CO</t>
    </r>
    <r>
      <rPr>
        <b/>
        <vertAlign val="subscript"/>
        <sz val="11"/>
        <color rgb="FF000000"/>
        <rFont val="Calibri"/>
        <family val="2"/>
      </rPr>
      <t>2</t>
    </r>
    <r>
      <rPr>
        <b/>
        <sz val="11"/>
        <color rgb="FF000000"/>
        <rFont val="Calibri"/>
        <family val="2"/>
      </rPr>
      <t>-e)</t>
    </r>
  </si>
  <si>
    <r>
      <t>N</t>
    </r>
    <r>
      <rPr>
        <b/>
        <vertAlign val="subscript"/>
        <sz val="11"/>
        <color rgb="FF000000"/>
        <rFont val="Calibri"/>
        <family val="2"/>
      </rPr>
      <t>2</t>
    </r>
    <r>
      <rPr>
        <b/>
        <sz val="11"/>
        <color rgb="FF000000"/>
        <rFont val="Calibri"/>
        <family val="2"/>
      </rPr>
      <t>O (kg CO</t>
    </r>
    <r>
      <rPr>
        <b/>
        <vertAlign val="subscript"/>
        <sz val="11"/>
        <color rgb="FF000000"/>
        <rFont val="Calibri"/>
        <family val="2"/>
      </rPr>
      <t>2</t>
    </r>
    <r>
      <rPr>
        <b/>
        <sz val="11"/>
        <color rgb="FF000000"/>
        <rFont val="Calibri"/>
        <family val="2"/>
      </rPr>
      <t>-e)</t>
    </r>
  </si>
  <si>
    <t>Scope 1</t>
  </si>
  <si>
    <t>Fuel</t>
  </si>
  <si>
    <t>Scope 3</t>
  </si>
  <si>
    <t>T&amp;D losses</t>
  </si>
  <si>
    <t>Scope 2</t>
  </si>
  <si>
    <t>Purchased energy</t>
  </si>
  <si>
    <t>Working from home</t>
  </si>
  <si>
    <t>Refrigerant and other gases</t>
  </si>
  <si>
    <t>Passenger transport</t>
  </si>
  <si>
    <t>Freight Transport</t>
  </si>
  <si>
    <t>Water supply and wastewater treatment</t>
  </si>
  <si>
    <t>Waste</t>
  </si>
  <si>
    <t>Agriculture</t>
  </si>
  <si>
    <t xml:space="preserve">Total GHG Inventory Emissions </t>
  </si>
  <si>
    <t>Total scope 1</t>
  </si>
  <si>
    <t>Total scope 2</t>
  </si>
  <si>
    <t>Total scope 3</t>
  </si>
  <si>
    <r>
      <t>Biogenic CO</t>
    </r>
    <r>
      <rPr>
        <b/>
        <vertAlign val="subscript"/>
        <sz val="11"/>
        <color rgb="FFFFFFFF"/>
        <rFont val="Calibri"/>
        <family val="2"/>
      </rPr>
      <t>2</t>
    </r>
  </si>
  <si>
    <t>Scope 1 (Biofuel, LULUCF)</t>
  </si>
  <si>
    <t>Forestry Removals</t>
  </si>
  <si>
    <t>MfE Measuring Emissions Guidance 2024</t>
  </si>
  <si>
    <t>Emissions Factor Workbook Using Data and Methods from the 2022 Calendar Year</t>
  </si>
  <si>
    <t>Fuel emission factors</t>
  </si>
  <si>
    <t>Additional Information</t>
  </si>
  <si>
    <r>
      <t>All emissions are expressed as kg of carbon dioxide equivalent (kg CO</t>
    </r>
    <r>
      <rPr>
        <vertAlign val="subscript"/>
        <sz val="11"/>
        <color rgb="FF000000"/>
        <rFont val="Calibri"/>
        <family val="2"/>
      </rPr>
      <t>2</t>
    </r>
    <r>
      <rPr>
        <sz val="11"/>
        <color rgb="FF000000"/>
        <rFont val="Calibri"/>
        <family val="2"/>
      </rPr>
      <t xml:space="preserve">-e) per unit.
Residential use emission factors are for fuel used primarily at residential properties.
Commercial use is for fuels used at properties or sites where commercial activities take place.
Industrial use emission factors can be applied where combustion takes place at sites where industrial processes or within engines that support industrial activities.
The emission factors for biofuels are the unchanged whether they are combusted in a stationary or transport engine.
</t>
    </r>
  </si>
  <si>
    <t/>
  </si>
  <si>
    <t>kg CO₂-e</t>
  </si>
  <si>
    <t>CO₂ (kg CO₂-e)</t>
  </si>
  <si>
    <t>CH₄ (kg CO₂-e)</t>
  </si>
  <si>
    <t>N₂O (kg CO₂-e)</t>
  </si>
  <si>
    <t>Biogenic CO₂</t>
  </si>
  <si>
    <t>Total Calculated Emissions for stationary combustion and transport fuel</t>
  </si>
  <si>
    <t>Total Calculated Emissions for Biofuel</t>
  </si>
  <si>
    <t>Stationary combusion fuel emission factors</t>
  </si>
  <si>
    <t>Emission source</t>
  </si>
  <si>
    <t>Unit</t>
  </si>
  <si>
    <t>Your Input</t>
  </si>
  <si>
    <t>kg CO₂e</t>
  </si>
  <si>
    <t>CO₂ (kg CO₂e)</t>
  </si>
  <si>
    <t>CH₄ (kg CO₂e)</t>
  </si>
  <si>
    <t>N₂O (kg CO₂e)</t>
  </si>
  <si>
    <t>Uncertainty</t>
  </si>
  <si>
    <t>ID</t>
  </si>
  <si>
    <t>Stationary combustion fuel emission factors</t>
  </si>
  <si>
    <t>Residential use</t>
  </si>
  <si>
    <t>Coal - Default</t>
  </si>
  <si>
    <t>kg</t>
  </si>
  <si>
    <t>CO2e ± 4.5%, CO2 ± 2.2%, CH4 ± 50%, N2O ± 50%</t>
  </si>
  <si>
    <t>39568e41-57d6-4fd6-8f41-05d7f7424194</t>
  </si>
  <si>
    <t>Coal - Bituminous</t>
  </si>
  <si>
    <t>CO2e ± 4.6%, CO2 ± 2.2%, CH4 ± 50%, N2O ± 50%</t>
  </si>
  <si>
    <t>2c75d725-1baa-4f9b-8ae8-a58957f3b6bb</t>
  </si>
  <si>
    <t>Coal - Sub-Bituminous</t>
  </si>
  <si>
    <t>2dff7f24-ab5f-4951-a35b-72bd06236de3</t>
  </si>
  <si>
    <t>Coal - Lignite</t>
  </si>
  <si>
    <t>CO2e ± 4.4%, CO2 ± 2.2%, CH4 ± 50%, N2O ± 50%</t>
  </si>
  <si>
    <t>e55f37b0-4203-40a9-a018-cef9b81f9dde</t>
  </si>
  <si>
    <t>Commercial use</t>
  </si>
  <si>
    <t>CO2e ± 2.2%, CO2 ± 2.2%, CH4 ± 50%, N2O ± 50%</t>
  </si>
  <si>
    <t>70515ed9-db3e-463b-a54f-0580e7b8ea8e</t>
  </si>
  <si>
    <t>1abdfdaa-b12b-43f0-86bc-8c8108d0f9c3</t>
  </si>
  <si>
    <t>28aa369d-97cd-4993-8879-a863ee1f6948</t>
  </si>
  <si>
    <t>395adddd-beb2-46cb-bbb4-96c8e1888875</t>
  </si>
  <si>
    <t>Diesel</t>
  </si>
  <si>
    <t>litre</t>
  </si>
  <si>
    <t>CO2e ± 0.5%, CO2 ± 0.5%, CH4 ± 50%, N2O ± 50%</t>
  </si>
  <si>
    <t>4bb87d64-8572-4588-8a69-3fd8036fdf68</t>
  </si>
  <si>
    <t>LPG</t>
  </si>
  <si>
    <t>CO2e ± 2.4%, CO2 ± 2.4%, CH4 ± 50%, N2O ± 50%</t>
  </si>
  <si>
    <t>f03f2229-5f84-4c11-b798-7d3d69c644ec</t>
  </si>
  <si>
    <t>Heavy Fuel Oil</t>
  </si>
  <si>
    <t>34b51fbd-7470-4b95-a432-9bcf632a5e2c</t>
  </si>
  <si>
    <t>Light Fuel Oil</t>
  </si>
  <si>
    <t>83c96e6a-1a8f-4aa8-8039-c988162fdf2d</t>
  </si>
  <si>
    <t>Natural Gas</t>
  </si>
  <si>
    <t>kWh</t>
  </si>
  <si>
    <t>1ba84533-5f43-4401-a953-574f3ce058ed</t>
  </si>
  <si>
    <t>GJ</t>
  </si>
  <si>
    <t>05902722-2fca-4483-9103-af381fb633fa</t>
  </si>
  <si>
    <t>Industrial Use</t>
  </si>
  <si>
    <t>3c46934d-43fc-40a9-a080-074b943acf13</t>
  </si>
  <si>
    <t>03fddbad-8cd4-497c-9086-a3aa39a4bf29</t>
  </si>
  <si>
    <t>3a1608fa-58ef-4bec-86d9-f03514dd3bf6</t>
  </si>
  <si>
    <t>0adce7e1-50b2-4d46-87fd-c44b967171b9</t>
  </si>
  <si>
    <t>9aba7860-eec9-43c7-b449-600535405320</t>
  </si>
  <si>
    <t>d22a5123-ce96-40ee-a07d-b74742716d1e</t>
  </si>
  <si>
    <t>77daa984-d9bd-45ba-a8e3-2a097260937b</t>
  </si>
  <si>
    <t>4b7ff51d-865d-40b0-a317-d8553fb91eda</t>
  </si>
  <si>
    <t>fbcbf333-e4bd-49af-8703-612d17f0e88d</t>
  </si>
  <si>
    <t>8727b7ec-054e-4063-b626-ebc15db7c2ee</t>
  </si>
  <si>
    <t>Total</t>
  </si>
  <si>
    <t>Transport fuel emission factors</t>
  </si>
  <si>
    <t>Transport fuels</t>
  </si>
  <si>
    <t>Regular Petrol</t>
  </si>
  <si>
    <t>CO2e ± 1.6%, CO2 ± 0.05%, CH4 ± 50%, N2O ± 50%</t>
  </si>
  <si>
    <t>520c3a4d-5ba0-45d7-85b5-8d10e0b25c96</t>
  </si>
  <si>
    <t>Premium Petrol</t>
  </si>
  <si>
    <t>87bbbd2d-9628-4855-8347-21faf779d107</t>
  </si>
  <si>
    <t>CO2e ± 0.7%, CO2 ± 0.05%, CH4 ± 50%, N2O ± 50%</t>
  </si>
  <si>
    <t>14b4374c-5d94-4272-ad8a-05fc09b4c787</t>
  </si>
  <si>
    <t>CO2e ± 2.7%, CO2 ± 2.4%, CH4 ± 50%, N2O ± 50%</t>
  </si>
  <si>
    <t>4dbb0b57-54b0-4e6b-bcc5-7853698eee5b</t>
  </si>
  <si>
    <t>CO2e ± 0.4%, CO2 ± 0.05%, CH4 ± 50%, N2O ± 50%</t>
  </si>
  <si>
    <t>5188d3cb-bed8-481f-b239-1d9c59f92d4e</t>
  </si>
  <si>
    <t>eda03e33-143e-4765-a459-b1b2e40c0fa5</t>
  </si>
  <si>
    <t>Aviation fuel (Kerosene)</t>
  </si>
  <si>
    <t>CO2e ± 1.1%, CO2 ± 1%, CH4 ± 50%, N2O ± 50%</t>
  </si>
  <si>
    <t>0d467ed7-c88f-4f7a-adb6-d5bd86be9f9f</t>
  </si>
  <si>
    <t>074ea59f-2e76-472b-8fff-0574cfd887d2</t>
  </si>
  <si>
    <t>Aviation gas</t>
  </si>
  <si>
    <t>CO2e ± 1%, CO2 ± 1%, CH4 ± 50%, N2O ± 50%</t>
  </si>
  <si>
    <t>edecde89-19c9-40b1-9bb9-0cb62ccda936</t>
  </si>
  <si>
    <t>cb8d0ed6-c807-413e-bd25-dad9b2c74244</t>
  </si>
  <si>
    <t>Biofuel and biomass emission factors</t>
  </si>
  <si>
    <t>Biofuel</t>
  </si>
  <si>
    <t>Bioethanol</t>
  </si>
  <si>
    <t>CO2e ± 1.5%, CO2 ± 0.05%, CH4 ± 50%, N2O ± 50%</t>
  </si>
  <si>
    <t>f755ef34-e2bb-479f-9833-ab51f2b7e0d0</t>
  </si>
  <si>
    <t>542d54aa-8a2b-4e8f-b00b-7ae4054a51ec</t>
  </si>
  <si>
    <t>Bioethanol blend E3</t>
  </si>
  <si>
    <t>021093bf-c3c1-42c7-9dee-f68a61722e23</t>
  </si>
  <si>
    <t>Bioethanol blend E10</t>
  </si>
  <si>
    <t>6ae0af03-66f6-464c-9af7-519c2350b159</t>
  </si>
  <si>
    <t>Biodiesel</t>
  </si>
  <si>
    <t>CO2e ± 0.9%, CO2 ± 0.05%, CH4 ± 50%, N2O ± 50%</t>
  </si>
  <si>
    <t>004cd3e5-4972-4d8b-be1f-0751f888a8c2</t>
  </si>
  <si>
    <t>e9e1cedf-c398-42ff-8790-9364a87fb6a8</t>
  </si>
  <si>
    <t>Biodiesel blend B5</t>
  </si>
  <si>
    <t>7d9936b0-ac06-438a-91e2-ecf9724f4c87</t>
  </si>
  <si>
    <t>Biodiesel blend B20</t>
  </si>
  <si>
    <t>857dda2c-440b-4bf1-8f50-7c595a5e7040</t>
  </si>
  <si>
    <t>Biomass - Manufacturing use</t>
  </si>
  <si>
    <t>Wood - Chips</t>
  </si>
  <si>
    <t>CO2e ± 36%</t>
  </si>
  <si>
    <t>b9df510b-a730-40ab-ac83-7aa1423d3681</t>
  </si>
  <si>
    <t>Wood - Pellets</t>
  </si>
  <si>
    <t>CO2e ± 36%, N2O ± 50%</t>
  </si>
  <si>
    <t>981d9869-9d9f-4302-ba43-0d6a5571dd76</t>
  </si>
  <si>
    <t>Wood - Green</t>
  </si>
  <si>
    <t>3f81035c-0422-4351-a4b8-0f3b098fd4d8</t>
  </si>
  <si>
    <t>Biomass - Commercial use</t>
  </si>
  <si>
    <t>CO2e ± 45%, N2O ± 50%</t>
  </si>
  <si>
    <t>1678253c-f990-4b42-942f-0396d780bef9</t>
  </si>
  <si>
    <t>4f882488-249d-4d33-943b-ad3304fec297</t>
  </si>
  <si>
    <t>Emissions Factor Workbook Using Data and Methods from calendars years between 2011 and 2023</t>
  </si>
  <si>
    <t>Transmission &amp; distribution losses emission factors</t>
  </si>
  <si>
    <r>
      <t>All emissions are expressed as kg of carbon dioxide equivalent (kg CO</t>
    </r>
    <r>
      <rPr>
        <vertAlign val="subscript"/>
        <sz val="11"/>
        <color rgb="FF000000"/>
        <rFont val="Calibri"/>
        <family val="2"/>
      </rPr>
      <t>2</t>
    </r>
    <r>
      <rPr>
        <sz val="11"/>
        <color rgb="FF000000"/>
        <rFont val="Calibri"/>
        <family val="2"/>
      </rPr>
      <t xml:space="preserve">-e) per unit.
</t>
    </r>
  </si>
  <si>
    <t>Transmission and distribution losses</t>
  </si>
  <si>
    <t xml:space="preserve"> </t>
  </si>
  <si>
    <t>Natural gas used</t>
  </si>
  <si>
    <t>Unknown</t>
  </si>
  <si>
    <t>2ec5e615-ddcd-4606-bc9e-70de55d64f14</t>
  </si>
  <si>
    <t xml:space="preserve">  </t>
  </si>
  <si>
    <t>1f928f38-92f0-4198-826b-068d311bb248</t>
  </si>
  <si>
    <t>Calendar Years - Transmission and distribution losses</t>
  </si>
  <si>
    <t>Electricity used</t>
  </si>
  <si>
    <t>8afde764-9267-4d70-89f5-134b599c972a</t>
  </si>
  <si>
    <t>6d2bc869-c944-4f01-ad2e-03defb2a34fc</t>
  </si>
  <si>
    <t>9b5cc2ff-5f58-4ac2-a3b5-d55b232c8cae</t>
  </si>
  <si>
    <t>aa2a49e6-9eb6-4dee-a5ff-5b144d75c2ea</t>
  </si>
  <si>
    <t>510960ac-9023-46c8-88a6-c375d3423ab8</t>
  </si>
  <si>
    <t>a6ee8158-7611-4700-8955-cf6f206d62f8</t>
  </si>
  <si>
    <t>ac129571-f592-4256-bb20-0ef87a2b528b</t>
  </si>
  <si>
    <t>61f25ce3-839b-428a-b008-a1f9528f4def</t>
  </si>
  <si>
    <t>79213373-ea24-499a-affb-f164f13e5b34</t>
  </si>
  <si>
    <t>227a15c8-9299-4c0b-bb69-815e8c8b4071</t>
  </si>
  <si>
    <t>0e54bee1-22e3-4bd4-91d0-5a40d64dedf0</t>
  </si>
  <si>
    <t>8cc636df-96ad-4cb5-9e4e-14a03f760777</t>
  </si>
  <si>
    <t>afd2b40b-c36c-4591-933b-fcc016d8ade5</t>
  </si>
  <si>
    <t>Purchased energy emission factors</t>
  </si>
  <si>
    <r>
      <t>All emissions are expressed as kg of carbon dioxide equivalent (kg CO</t>
    </r>
    <r>
      <rPr>
        <vertAlign val="subscript"/>
        <sz val="11"/>
        <color rgb="FF000000"/>
        <rFont val="Calibri"/>
        <family val="2"/>
      </rPr>
      <t>2</t>
    </r>
    <r>
      <rPr>
        <sz val="11"/>
        <color rgb="FF000000"/>
        <rFont val="Calibri"/>
        <family val="2"/>
      </rPr>
      <t xml:space="preserve">-e) per unit.
Users should use the emission factor from the timeseries that is most closely matches the year the data was collected.
From 2023 onwards, this would be the emission factors from the year 2023.
</t>
    </r>
  </si>
  <si>
    <t>Purchased energy emission factors - annual average</t>
  </si>
  <si>
    <t>0d4ea732-d68c-4cf4-8bc4-d87dd400276a</t>
  </si>
  <si>
    <t>ffd5eb10-c7fb-468a-810a-e747932f8764</t>
  </si>
  <si>
    <t>1174dc3e-94de-42be-a946-a1c3f16e9e6f</t>
  </si>
  <si>
    <t>a4e5ec84-8509-4be4-a6fa-02a81ffe7fb9</t>
  </si>
  <si>
    <t>89ff2712-b345-4768-a23c-7afebe34a0e2</t>
  </si>
  <si>
    <t>ce5a9b85-eb3f-4134-a788-44b920b77458</t>
  </si>
  <si>
    <t>9858068a-7ca8-4acc-b0a3-a270e25adb35</t>
  </si>
  <si>
    <t>06a7484a-c72b-4ebb-94c3-3c4e88b4c91c</t>
  </si>
  <si>
    <t>1c75f3cd-69ab-4f2b-aba6-ce839f9ec748</t>
  </si>
  <si>
    <t>42c0d563-1a0a-40ae-aa19-09955f00ebcd</t>
  </si>
  <si>
    <t>604cffe8-75ae-41fa-aa57-eb520d83537a</t>
  </si>
  <si>
    <t>f8a37ac0-86af-4a5e-aeac-0706de27aa24</t>
  </si>
  <si>
    <t>733cd0c8-7269-4fdf-ada4-980d95af90f2</t>
  </si>
  <si>
    <t>Purchased energy emission factors - calendar quarters</t>
  </si>
  <si>
    <t>Quarter</t>
  </si>
  <si>
    <t>Dec-2023</t>
  </si>
  <si>
    <t>cb7414ab-9ee8-4a8d-916e-6006c876c190</t>
  </si>
  <si>
    <t>Sep-2023</t>
  </si>
  <si>
    <t>fd7a22d6-eea8-4732-8130-1d5c002073fc</t>
  </si>
  <si>
    <t>Jun-2023</t>
  </si>
  <si>
    <t>20229981-c487-4038-a816-d1770076f380</t>
  </si>
  <si>
    <t>Mar-2023</t>
  </si>
  <si>
    <t>c9f0bf94-6da3-44c5-ad73-38d578569079</t>
  </si>
  <si>
    <t>Dec-2022</t>
  </si>
  <si>
    <t>178e234f-6f99-4c06-a8e8-7269ff0b6fff</t>
  </si>
  <si>
    <t>Sep-2022</t>
  </si>
  <si>
    <t>f62988d7-2902-44b1-b41a-3d8726f0ce55</t>
  </si>
  <si>
    <t>Jun-2022</t>
  </si>
  <si>
    <t>8e2d70d5-bb8d-4d22-a6c4-a160c0a1884a</t>
  </si>
  <si>
    <t>Mar-2022</t>
  </si>
  <si>
    <t>83fb126a-45c1-4c5d-8067-ffc4b6eaa842</t>
  </si>
  <si>
    <t>Dec-2021</t>
  </si>
  <si>
    <t>eb8a901d-1206-4cea-bacf-af27103f360b</t>
  </si>
  <si>
    <t>Sep-2021</t>
  </si>
  <si>
    <t>4829766d-4236-4cd9-8752-009b640903f6</t>
  </si>
  <si>
    <t>Jun-2021</t>
  </si>
  <si>
    <t>828d16ae-dc70-41bb-afc6-fb808a8f2d6e</t>
  </si>
  <si>
    <t>Mar-2021</t>
  </si>
  <si>
    <t>df8fc626-21b3-448c-a299-4def7b73c4c4</t>
  </si>
  <si>
    <t>Emissions Factor Workbook Using Data and Methods from the 2023 Calendar Year</t>
  </si>
  <si>
    <t>Working from home emission factors</t>
  </si>
  <si>
    <t xml:space="preserve">The default factor can be used throughout the year and is based on the assumption that heating is run for five months of the year.
It can be used when it is unknown if heating is used or not
The Without heating factor only covers emissions associated with the laptop, monitor and lighting 
The With heating factor assumes heating is used for six hours of the employee day.
All emissions are expressed as kg of carbon dioxide equivalent (kg CO2-e) per unit.
</t>
  </si>
  <si>
    <t>Assumption</t>
  </si>
  <si>
    <t>Default</t>
  </si>
  <si>
    <t>employee days</t>
  </si>
  <si>
    <t>See notes above or refer to detailed guide</t>
  </si>
  <si>
    <t>f0fd2836-ef0b-4804-b8f6-bb176b436624</t>
  </si>
  <si>
    <t>Without heating</t>
  </si>
  <si>
    <t>453f9a50-d755-4823-9046-77536b234737</t>
  </si>
  <si>
    <t>With heating</t>
  </si>
  <si>
    <t>4c03a294-1251-49a1-84db-7755b649df98</t>
  </si>
  <si>
    <t>Emissions Factor Workbook Using Data and Methods from the IPCC AR5 GWP100</t>
  </si>
  <si>
    <t>Refrigerants and other gases emission factors</t>
  </si>
  <si>
    <t>Refrigerants and other gases</t>
  </si>
  <si>
    <t>Industrial Designation or Common Name</t>
  </si>
  <si>
    <t>Carbon dioxide (R - 744)</t>
  </si>
  <si>
    <t>CO₂</t>
  </si>
  <si>
    <t>0813ed69-1350-4bcb-9166-18b75f8c734d</t>
  </si>
  <si>
    <t>Methane</t>
  </si>
  <si>
    <t>CH₄</t>
  </si>
  <si>
    <t>8fa5677a-11e7-4efd-bb30-9ab487a2e76a</t>
  </si>
  <si>
    <t>Propane (R-290)</t>
  </si>
  <si>
    <t>C₃H₈</t>
  </si>
  <si>
    <t>9924e860-28dc-4ac0-ae2a-1a76b4426aed</t>
  </si>
  <si>
    <t>Nitrous oxide (R-744a)</t>
  </si>
  <si>
    <t>N₂O</t>
  </si>
  <si>
    <t>10799065-b92d-4e7e-807b-74316f70b959</t>
  </si>
  <si>
    <t>Isobutane(R-600a)</t>
  </si>
  <si>
    <t>C₄H₁₀</t>
  </si>
  <si>
    <t>7f0a5fd1-8823-426e-9a2e-78d5ab392346</t>
  </si>
  <si>
    <t>Substances controlled by the Montreal Protocol</t>
  </si>
  <si>
    <t>CFC-11  (R-11)</t>
  </si>
  <si>
    <t>CCl₃F</t>
  </si>
  <si>
    <t>716265a3-1850-48d2-a231-6f981d108d66</t>
  </si>
  <si>
    <t>CFC-12  (R-12)</t>
  </si>
  <si>
    <t>CCl₂F₂</t>
  </si>
  <si>
    <t>ba177106-e355-4c63-9692-0eac5952d3d2</t>
  </si>
  <si>
    <t>CFC-13  (R-13)</t>
  </si>
  <si>
    <t>CClF₃</t>
  </si>
  <si>
    <t>da0ac088-6e2d-41f9-b9ea-d8d1296cd4aa</t>
  </si>
  <si>
    <t>CFC-113  (R-113)</t>
  </si>
  <si>
    <t>CCl₂FCClF₂</t>
  </si>
  <si>
    <t>e1efaf37-c31d-4ea4-813f-4b2794edad2d</t>
  </si>
  <si>
    <t>CFC-114  (R-114)</t>
  </si>
  <si>
    <t>CClF₂CClF₂</t>
  </si>
  <si>
    <t>72f9436a-f512-4e4f-92d6-d5b757e5e6e4</t>
  </si>
  <si>
    <t>CFC-115  (R-115)</t>
  </si>
  <si>
    <t>CClF₂CF₃</t>
  </si>
  <si>
    <t>adf7b7f1-ce08-4589-9fb9-8b8a1f611872</t>
  </si>
  <si>
    <t>Halon-1301  (R-1301)</t>
  </si>
  <si>
    <t>CBrF₃</t>
  </si>
  <si>
    <t>04867193-c20d-4ca3-a0d1-59fbddfb2d2f</t>
  </si>
  <si>
    <t>Halon-1211  (R-1211)</t>
  </si>
  <si>
    <t>CBrClF₂</t>
  </si>
  <si>
    <t>ff53fe00-da89-473a-b766-0f2e8ef8626f</t>
  </si>
  <si>
    <t>Halon-2402  (R-2402)</t>
  </si>
  <si>
    <t>CBrF₂CBrF₂</t>
  </si>
  <si>
    <t>8ed6a724-af10-43c3-9764-46b819f544cf</t>
  </si>
  <si>
    <t>Carbon tetrachloride  (R-10)</t>
  </si>
  <si>
    <t>CCl₄</t>
  </si>
  <si>
    <t>3ab7fb82-57c3-4f63-8891-303ecde57c6e</t>
  </si>
  <si>
    <t>Methyl bromide</t>
  </si>
  <si>
    <t>CH₃Br</t>
  </si>
  <si>
    <t>43d60ad6-14bd-4b62-a6ee-07931f55dc69</t>
  </si>
  <si>
    <t>Methyl chloroform</t>
  </si>
  <si>
    <t>CH₃CCl₃</t>
  </si>
  <si>
    <t>fcdfd799-62a8-46f8-be7e-92856f3ffd87</t>
  </si>
  <si>
    <t>HCFC-21</t>
  </si>
  <si>
    <t>CHCl₂F</t>
  </si>
  <si>
    <t>df7a1b39-20e5-4b2e-aea2-3c37410f9a7f</t>
  </si>
  <si>
    <t>HCFC-22  (R-22)</t>
  </si>
  <si>
    <t>CHClF₂</t>
  </si>
  <si>
    <t>f75ef5a6-cd44-4bb9-81b8-7540a8c49514</t>
  </si>
  <si>
    <t>HCFC-123  (R-123)</t>
  </si>
  <si>
    <t>CHCl₂CF₃</t>
  </si>
  <si>
    <t>040c1614-2676-4d50-a000-1c8a9a794bec</t>
  </si>
  <si>
    <t>HCFC-124  (R-124)</t>
  </si>
  <si>
    <t>CHClFCF₃</t>
  </si>
  <si>
    <t>5113a12c-5ab5-4a05-8dd8-10e367fed1c2</t>
  </si>
  <si>
    <t>HCFC-141b  (R-141b)</t>
  </si>
  <si>
    <t>CH₃CCl₂F</t>
  </si>
  <si>
    <t>70173788-ad71-4eaf-bcfd-f2ae27a840ab</t>
  </si>
  <si>
    <t>HCFC-142b  (R-142b)</t>
  </si>
  <si>
    <t>CH₃CClF₂</t>
  </si>
  <si>
    <t>a4751376-7f4f-494f-8795-c18d85b54a6e</t>
  </si>
  <si>
    <t>HCFC-225ca  (R-225ca)</t>
  </si>
  <si>
    <t>CHCl₂CF₂CF₃</t>
  </si>
  <si>
    <t>27e8e94b-58a9-4c4a-a472-c71a0e8cdfe9</t>
  </si>
  <si>
    <t>HCFC-225cb  (R- 225cb)</t>
  </si>
  <si>
    <t>CHClFCF₂CClF₂</t>
  </si>
  <si>
    <t>21289e19-0e9c-44c8-8c42-6dd4bde00e50</t>
  </si>
  <si>
    <t>Hydrofluorocarbons</t>
  </si>
  <si>
    <t>HFC-23  (R-23)</t>
  </si>
  <si>
    <t>CHF₃</t>
  </si>
  <si>
    <t>4fe22aef-103c-491d-a58a-8f8805a9e391</t>
  </si>
  <si>
    <t>HFC-32  (R-32)</t>
  </si>
  <si>
    <t>CH₂F₂</t>
  </si>
  <si>
    <t>1b08d601-e56f-415b-a668-6294ab8c07bf</t>
  </si>
  <si>
    <t>HFC-41</t>
  </si>
  <si>
    <t>CH₃F</t>
  </si>
  <si>
    <t>6ee724bf-f013-4789-b2d8-d0dad5f9fc8f</t>
  </si>
  <si>
    <t>HFC-125  (R-125)</t>
  </si>
  <si>
    <t>CHF₂CF₃</t>
  </si>
  <si>
    <t>13d7efef-ed69-4442-b26b-eb6ddd0e47b4</t>
  </si>
  <si>
    <t>HFC-134</t>
  </si>
  <si>
    <t>CHF₂CHF₂</t>
  </si>
  <si>
    <t>e927b31b-901f-404d-9e2c-af4d2c3023df</t>
  </si>
  <si>
    <t>HFC-134a  (R-134a)</t>
  </si>
  <si>
    <t>CH₂FCF₃</t>
  </si>
  <si>
    <t>05905627-c683-4f00-b271-e719e2a306d8</t>
  </si>
  <si>
    <t>HFC-143</t>
  </si>
  <si>
    <t>CH₂FCHF₂</t>
  </si>
  <si>
    <t>fcbd8ac8-1aeb-477a-9839-831cfbc09930</t>
  </si>
  <si>
    <t>HFC-143a  (R-143a)</t>
  </si>
  <si>
    <t>CH₃CF₃</t>
  </si>
  <si>
    <t>146499ee-f9bf-4c9b-a7ce-623932495d0d</t>
  </si>
  <si>
    <t>HFC-152</t>
  </si>
  <si>
    <t>CH₂FCH₂F</t>
  </si>
  <si>
    <t>c5089ed8-6232-44ea-afaf-685753d6ff8d</t>
  </si>
  <si>
    <t>HFC-152a  (R-152a)</t>
  </si>
  <si>
    <t>CH₃CHF₂</t>
  </si>
  <si>
    <t>f28b8f8e-c193-4bb1-bb37-da66ce5de896</t>
  </si>
  <si>
    <t>HFC-161</t>
  </si>
  <si>
    <t>CH₃CH₂F</t>
  </si>
  <si>
    <t>92f83f05-8a7b-4e99-8f80-fd5209ff29f3</t>
  </si>
  <si>
    <t>HFC-227ea  (R-227ea)</t>
  </si>
  <si>
    <t>CF₃CHFCF₃</t>
  </si>
  <si>
    <t>ee51098b-c022-4500-b135-0805fa4ffaf3</t>
  </si>
  <si>
    <t>HFC-236cb</t>
  </si>
  <si>
    <t>CH₂FCF₂CF₃</t>
  </si>
  <si>
    <t>d802ba98-d133-45e6-933a-3c782fc08b61</t>
  </si>
  <si>
    <t>HFC-236ea</t>
  </si>
  <si>
    <t>CHF₂CHFCF₃</t>
  </si>
  <si>
    <t>613db031-8b4b-4a3d-8691-f35491bb4be5</t>
  </si>
  <si>
    <t>HFC-236fa  (R-236fa)</t>
  </si>
  <si>
    <t>CF₃CH₂CF₃</t>
  </si>
  <si>
    <t>558c0667-9c27-4193-8d20-a2d118fc403d</t>
  </si>
  <si>
    <t>HFC-245ca</t>
  </si>
  <si>
    <t>CH₂FCF₂CHF₂</t>
  </si>
  <si>
    <t>e5c51816-0309-4cc6-a4b1-d9d5ea7608d8</t>
  </si>
  <si>
    <t>HFC-245fa  (R - 245fa)</t>
  </si>
  <si>
    <t>CHF₂CH₂CF₃</t>
  </si>
  <si>
    <t>05f4c495-a9b6-4cc4-939b-9f56bd1d6885</t>
  </si>
  <si>
    <t>HFC-365mfc  (R- 365mfc)</t>
  </si>
  <si>
    <t>CH₃CF₂CH₂CF₃</t>
  </si>
  <si>
    <t>40937052-f867-453a-bab2-feca1475d05b</t>
  </si>
  <si>
    <t>HFC-43-10mee</t>
  </si>
  <si>
    <t>CF₃CHFCHFCF₂CF₃</t>
  </si>
  <si>
    <t>69949e3f-8bd3-434c-8938-6c5ab59646f8</t>
  </si>
  <si>
    <t>Perfluorinated compounds</t>
  </si>
  <si>
    <t>Sulphur hexafluoride</t>
  </si>
  <si>
    <t>SF₆</t>
  </si>
  <si>
    <t>5353ab0d-fa80-4ad6-9fdf-207803addca6</t>
  </si>
  <si>
    <t>Nitrogen trifluoride</t>
  </si>
  <si>
    <t>NF₃</t>
  </si>
  <si>
    <t>2f8d63bf-7dbc-4214-9795-5f7ae6a675b9</t>
  </si>
  <si>
    <t>PFC-14</t>
  </si>
  <si>
    <t>CF₄</t>
  </si>
  <si>
    <t>42cdb109-d387-468b-b1ce-e9784d981b7a</t>
  </si>
  <si>
    <t>PFC-116</t>
  </si>
  <si>
    <t>C₂F₆</t>
  </si>
  <si>
    <t>04df83db-1d2f-4cee-84fe-e9da183e6a4f</t>
  </si>
  <si>
    <t>PFC-218</t>
  </si>
  <si>
    <t>C₃F₈</t>
  </si>
  <si>
    <t>3dc059f9-1265-4a06-a85a-2f2da48ffeee</t>
  </si>
  <si>
    <t>PFC-318</t>
  </si>
  <si>
    <t>c-C₄F₈</t>
  </si>
  <si>
    <t>052b48dc-7fdb-4a52-83bf-c265c0cc4b5f</t>
  </si>
  <si>
    <t>PFC-31-10</t>
  </si>
  <si>
    <t>C₄F₁₀</t>
  </si>
  <si>
    <t>e031b340-7a39-496a-a710-50d2980da95c</t>
  </si>
  <si>
    <t>PFC-41-12</t>
  </si>
  <si>
    <t>C₅F₁₂</t>
  </si>
  <si>
    <t>6c059b89-1428-42df-8513-0de088d5d59b</t>
  </si>
  <si>
    <t>PFC-51-14</t>
  </si>
  <si>
    <t>C₆F₁₄</t>
  </si>
  <si>
    <t>eeb73335-0903-4b15-b0cf-509168fcb450</t>
  </si>
  <si>
    <t>PFC-91-18</t>
  </si>
  <si>
    <t>C₁₀F₁₈</t>
  </si>
  <si>
    <t>abb52729-932c-4be7-b196-36cf0a7cb4df</t>
  </si>
  <si>
    <t>Trifluoromethyl sulphur pentafluoride</t>
  </si>
  <si>
    <t>SF₅CF₃</t>
  </si>
  <si>
    <t>ae3f440a-7916-4757-bd2e-e9393bb70da0</t>
  </si>
  <si>
    <t>Perfluorocyclopropane</t>
  </si>
  <si>
    <t>c-C₃F₆</t>
  </si>
  <si>
    <t>be8016fb-464e-4c74-b5c7-014aeff25de2</t>
  </si>
  <si>
    <t>Fluorinated ethers</t>
  </si>
  <si>
    <t>HFE-125</t>
  </si>
  <si>
    <t>CHF₂OCF₃</t>
  </si>
  <si>
    <t>ed83e2d5-306f-4649-b1d8-0eaeb3bb2a94</t>
  </si>
  <si>
    <t>HFE-134</t>
  </si>
  <si>
    <t>CHF₂OCHF₂</t>
  </si>
  <si>
    <t>647f1c57-69a0-4e0b-a394-d15ab9f45e22</t>
  </si>
  <si>
    <t>HFE-143a</t>
  </si>
  <si>
    <t>CH₃OCF₃</t>
  </si>
  <si>
    <t>62f523c0-4ed5-4a1e-acd0-f7e82b0e2165</t>
  </si>
  <si>
    <t>HFE-227ea</t>
  </si>
  <si>
    <t>CF₃CHFOCF₃</t>
  </si>
  <si>
    <t>e726e5a1-9194-4b7e-bf60-e700dc269cf6</t>
  </si>
  <si>
    <t>HCFE-235da2 (Isoflurane)</t>
  </si>
  <si>
    <t>CHF₂OCHClCF₃</t>
  </si>
  <si>
    <t>d03aa695-2630-448c-b84c-c3d6293fcbd6</t>
  </si>
  <si>
    <t>HFE-236ea2</t>
  </si>
  <si>
    <t>CHF₂OCHFCF₃</t>
  </si>
  <si>
    <t>9e1e2d77-fcaa-452c-87b5-206b9981dbbf</t>
  </si>
  <si>
    <t>HFE-236fa</t>
  </si>
  <si>
    <t>CF₃CH₂OCF₃</t>
  </si>
  <si>
    <t>c8ccd2d6-af04-4093-9bfd-172b5b648949</t>
  </si>
  <si>
    <t>HFE-245cb2</t>
  </si>
  <si>
    <t>CH₃OCF₂CF₃</t>
  </si>
  <si>
    <t>c1e79841-58d7-4b9d-b280-979cf4ce54e9</t>
  </si>
  <si>
    <t>HFE-245fa1</t>
  </si>
  <si>
    <t>CHF₂CH₂OCF₃</t>
  </si>
  <si>
    <t>6bce6c79-0e91-47e0-859e-00741357fec0</t>
  </si>
  <si>
    <t>HFE-245fa2</t>
  </si>
  <si>
    <t>CHF₂OCH₂CF₃</t>
  </si>
  <si>
    <t>502916e7-00dc-4720-a867-4d311f98370c</t>
  </si>
  <si>
    <t>HFE-254cb2</t>
  </si>
  <si>
    <t>CH₃OCF₂CHF₂</t>
  </si>
  <si>
    <t>68d358f4-50fc-4333-8e55-108f20d7acb2</t>
  </si>
  <si>
    <t>HFE-263fb2</t>
  </si>
  <si>
    <t>CF₃CH₂OCH₃</t>
  </si>
  <si>
    <t>a4a0ef2e-15b0-4f4f-b455-db74841fd0b0</t>
  </si>
  <si>
    <t>HFE-329mcc2</t>
  </si>
  <si>
    <t>CHF₂CF₂OCF₂CF₃</t>
  </si>
  <si>
    <t>c3de9e47-3ba5-4935-b4d9-ad0deacfbcdb</t>
  </si>
  <si>
    <t>HFE-338mcf2</t>
  </si>
  <si>
    <t>CF₃CH₂OCF₂CF₃</t>
  </si>
  <si>
    <t>2c24343a-b317-4ecd-9112-569ca3931b83</t>
  </si>
  <si>
    <t>HFE-347mcc3</t>
  </si>
  <si>
    <t>CH₃OCF₂CF₂CF₃</t>
  </si>
  <si>
    <t>08da4bf1-7cdc-4aa4-9d32-b65fe23f24b1</t>
  </si>
  <si>
    <t>HFE-347mcf2</t>
  </si>
  <si>
    <t>CHF₂CH₂OCF₂CF₃</t>
  </si>
  <si>
    <t>5bd97818-809a-4d39-bf91-de73c421deb0</t>
  </si>
  <si>
    <t>HFE-347pcf2</t>
  </si>
  <si>
    <t>CHF₂CF₂OCH₂CF₃</t>
  </si>
  <si>
    <t>dfe58cc1-c7a7-4519-9d76-1e0a0b9a7cf7</t>
  </si>
  <si>
    <t>HFE-356mec3</t>
  </si>
  <si>
    <t>CH₃OCF₂CHFCF₃</t>
  </si>
  <si>
    <t>c636d2a9-df02-4506-8e19-f0ce0199708f</t>
  </si>
  <si>
    <t>HFE-356pcc3</t>
  </si>
  <si>
    <t>CH₃OCF₂CF₂CHF₂</t>
  </si>
  <si>
    <t>973459af-00c5-4e0d-b295-752e24851be5</t>
  </si>
  <si>
    <t>HFE-356pcf2</t>
  </si>
  <si>
    <t>CHF₂CH₂OCF₂CHF₂</t>
  </si>
  <si>
    <t>7e20a2ff-cb6e-4bd0-a97d-034f9bad22a7</t>
  </si>
  <si>
    <t>HFE-356pcf3</t>
  </si>
  <si>
    <t>CHF₂OCH₂CF₂CHF₂</t>
  </si>
  <si>
    <t>c1fea9a4-62d0-445d-a831-7e11f4a045b1</t>
  </si>
  <si>
    <t>HFE-365mcf3</t>
  </si>
  <si>
    <t>CF₃CF₂CH₂OCH₃</t>
  </si>
  <si>
    <t>cf4c755e-404c-44ea-92a1-7571b1d87b3f</t>
  </si>
  <si>
    <t>HFE-374pc2</t>
  </si>
  <si>
    <t>CHF₂CF₂OCH₂CH₃</t>
  </si>
  <si>
    <t>694c5788-ae1f-4ee1-a937-71a546bedfe3</t>
  </si>
  <si>
    <t>HFE-449sl (HFE-7100)</t>
  </si>
  <si>
    <t>C₄F₉OCH₃</t>
  </si>
  <si>
    <t>3e744926-4e8a-48d3-b95c-337359036ef0</t>
  </si>
  <si>
    <t>HFE-569sf2 (HFE-7200)</t>
  </si>
  <si>
    <t>C₄F₉OC₂H₅</t>
  </si>
  <si>
    <t>f2355ad7-ff9b-427f-bff8-92d53187add3</t>
  </si>
  <si>
    <t>HFE-43-10pccc124 (H-Galden 1040x)</t>
  </si>
  <si>
    <t>CHF₂OCF₂OC₂F₄OCHF₂</t>
  </si>
  <si>
    <t>d5dda2c3-f7d6-4692-a204-5c05750cb265</t>
  </si>
  <si>
    <t>HFE-236ca12 (HG-10)</t>
  </si>
  <si>
    <t>CHF₂OCF₂OCHF₂</t>
  </si>
  <si>
    <t>dc1bded1-a03c-4cb0-9bb7-03de943d476b</t>
  </si>
  <si>
    <t>HFE-338pcc13 (HG-01)</t>
  </si>
  <si>
    <t>CHF₂OCF₂CF₂OCHF₂</t>
  </si>
  <si>
    <t>389b2e47-4a61-48f8-acf4-3f85ad536eba</t>
  </si>
  <si>
    <t>Perfluoropolyethers</t>
  </si>
  <si>
    <t>PFPMIE</t>
  </si>
  <si>
    <t>CF₃OCF(CF₃)CF₂OCF₂OCF₃</t>
  </si>
  <si>
    <t>1ef76130-8d7b-4935-ae4e-f9d63a85757f</t>
  </si>
  <si>
    <t>Hydrocarbons and other compounds – Direct Effects</t>
  </si>
  <si>
    <t>Chloroform</t>
  </si>
  <si>
    <t>CHCl₃</t>
  </si>
  <si>
    <t>e0a6c5b1-da01-4595-ab74-bdca0d770e1c</t>
  </si>
  <si>
    <t>Dimethylether</t>
  </si>
  <si>
    <t>CH₃OCH₃</t>
  </si>
  <si>
    <t>58c7a922-2cb0-4e8e-949b-eb8a6d520c7d</t>
  </si>
  <si>
    <t>Methylene chloride</t>
  </si>
  <si>
    <t>CH₂Cl₂</t>
  </si>
  <si>
    <t>95c544e7-6a1e-45bd-b90c-741586bda875</t>
  </si>
  <si>
    <t>Halon-1201</t>
  </si>
  <si>
    <t>CHBrF₂</t>
  </si>
  <si>
    <t>28385b50-9360-44b1-ad3f-e3575d52f4e0</t>
  </si>
  <si>
    <t>Methyl chloride</t>
  </si>
  <si>
    <t>CH₃Cl</t>
  </si>
  <si>
    <t>3126462f-a09a-4416-ace0-841ff6d43b0e</t>
  </si>
  <si>
    <t>Refrigerant blends: Zeotropes</t>
  </si>
  <si>
    <t>ASHRAE Refrigerant designation</t>
  </si>
  <si>
    <t>Mix (mass %)</t>
  </si>
  <si>
    <t>403B</t>
  </si>
  <si>
    <t>R-290/22/218 (5.0/56.0/39.0)</t>
  </si>
  <si>
    <t>1551efbd-4ca2-47f1-8ebf-50e9f6603352</t>
  </si>
  <si>
    <t>404A</t>
  </si>
  <si>
    <t>R-125/143a/134a (44.0/52.0/4.0)</t>
  </si>
  <si>
    <t>f4b520f1-62b7-4a8f-913c-865be1cc87fb</t>
  </si>
  <si>
    <t>406A</t>
  </si>
  <si>
    <t>R-22/600a/142b (55.0/4.0/41.0)</t>
  </si>
  <si>
    <t>795d9bb7-c9e1-4fcc-9f56-60468c248426</t>
  </si>
  <si>
    <t>407C</t>
  </si>
  <si>
    <t>R-32/125/134a (23.0/25.0/52.0)</t>
  </si>
  <si>
    <t>c724d775-f190-4fee-ad78-26f3d3596fd7</t>
  </si>
  <si>
    <t>407F</t>
  </si>
  <si>
    <t>R-32/125/134a (30.0/30.0/40.0)</t>
  </si>
  <si>
    <t>edb35901-8177-4ca6-9a4b-ef5b1b1065ba</t>
  </si>
  <si>
    <t>408A</t>
  </si>
  <si>
    <t>R-125/143a/22 (7.0/46.0/47.0)</t>
  </si>
  <si>
    <t>13c7c315-b153-46c8-9e7d-d3d8e3eb8f88</t>
  </si>
  <si>
    <t>409A</t>
  </si>
  <si>
    <t>R-22/124/142b (60.0/25.0/15.0)</t>
  </si>
  <si>
    <t>779491be-7543-4740-bbd2-e48df785af14</t>
  </si>
  <si>
    <t>409B</t>
  </si>
  <si>
    <t>R-22/124/142b (65.0/25.0/10.0)</t>
  </si>
  <si>
    <t>13a11293-ae31-4d54-aeca-cbb208f643a1</t>
  </si>
  <si>
    <t>410A</t>
  </si>
  <si>
    <t>R-32/125 (50.0/50.0)</t>
  </si>
  <si>
    <t>ff736967-fea2-4995-82da-f97f49f7fa84</t>
  </si>
  <si>
    <t>413A</t>
  </si>
  <si>
    <t>R-218/134a/600a (9.0/88.0/3.0)</t>
  </si>
  <si>
    <t>80cc8c53-43bf-4d83-9ce1-4ebe0bd91fc9</t>
  </si>
  <si>
    <t>416A</t>
  </si>
  <si>
    <t>R-134a/124/600a (59.0/39.5/1.5)</t>
  </si>
  <si>
    <t>b6d8e3d9-a365-4ad9-aeb0-15c286fe9af7</t>
  </si>
  <si>
    <t>417A</t>
  </si>
  <si>
    <t>R-125/134a/600a (46.6/50.0/3.4)</t>
  </si>
  <si>
    <t>85ddda67-b651-4fb4-9a76-34bb65dec79e</t>
  </si>
  <si>
    <t>422A</t>
  </si>
  <si>
    <t>R-125/134a/600a (85.1/11.5/3.4)</t>
  </si>
  <si>
    <t>0d197231-2858-4186-b535-d83bb13e3fd3</t>
  </si>
  <si>
    <t>436A</t>
  </si>
  <si>
    <t>R-290/600a (56.0/44.0)</t>
  </si>
  <si>
    <t>db8a61ba-a2a7-4539-badf-4e5e42acab56</t>
  </si>
  <si>
    <t>436B</t>
  </si>
  <si>
    <t>R-290/600a (52.0/48.0)</t>
  </si>
  <si>
    <t>0bd7b684-7833-4b55-9f81-404405718646</t>
  </si>
  <si>
    <t>R-22/115 (48.8/51.2)</t>
  </si>
  <si>
    <t>4e37cd66-8f89-446f-9091-8b655153de74</t>
  </si>
  <si>
    <t>Refrigerant blends: Azeotropes</t>
  </si>
  <si>
    <t>507A</t>
  </si>
  <si>
    <t>R-125/143a (50.0/50.0)</t>
  </si>
  <si>
    <t>d4179a4e-05bb-4338-8370-51684c6ecb57</t>
  </si>
  <si>
    <t>Medical gases</t>
  </si>
  <si>
    <t>HFE-347mmz1 (Sevoflurane)</t>
  </si>
  <si>
    <t>(CF₃)₂CHOCH₂F</t>
  </si>
  <si>
    <t>989d3ef8-9bec-461b-afc2-f45a50939558</t>
  </si>
  <si>
    <t>43f1239e-b588-487f-8108-0e428521f262</t>
  </si>
  <si>
    <t>HFE-236ea2 (Desflurane)</t>
  </si>
  <si>
    <t>42da1317-22b7-472f-b42c-dcf19a1b9519</t>
  </si>
  <si>
    <t>Medical gas blends - Mix (mass %) - Unit</t>
  </si>
  <si>
    <t>Entonox</t>
  </si>
  <si>
    <r>
      <t>N</t>
    </r>
    <r>
      <rPr>
        <vertAlign val="subscript"/>
        <sz val="11"/>
        <color rgb="FF000000"/>
        <rFont val="Calibri"/>
        <family val="2"/>
      </rPr>
      <t>2</t>
    </r>
    <r>
      <rPr>
        <sz val="11"/>
        <color rgb="FF000000"/>
        <rFont val="Calibri"/>
        <family val="2"/>
      </rPr>
      <t>O/O</t>
    </r>
    <r>
      <rPr>
        <vertAlign val="subscript"/>
        <sz val="11"/>
        <color rgb="FF000000"/>
        <rFont val="Calibri"/>
        <family val="2"/>
      </rPr>
      <t xml:space="preserve">2 </t>
    </r>
    <r>
      <rPr>
        <sz val="11"/>
        <color rgb="FF000000"/>
        <rFont val="Calibri"/>
        <family val="2"/>
      </rPr>
      <t xml:space="preserve"> (57.9/42.1) (50.0/50.0 vol.)</t>
    </r>
  </si>
  <si>
    <t>4812e53c-573d-40bc-8063-fdb6c2be07e2</t>
  </si>
  <si>
    <t>Emissions Factor Workbook Using Data and Methods from the most recent available year</t>
  </si>
  <si>
    <t>Passenger transport emission factors</t>
  </si>
  <si>
    <r>
      <t>For plug-in hybrids, both the fossil fuel and electricity factors should be used.
For flights, the radiative forcing multiplier refers to the direct and indirect climate change effects (non-CO</t>
    </r>
    <r>
      <rPr>
        <vertAlign val="subscript"/>
        <sz val="11"/>
        <color rgb="FF000000"/>
        <rFont val="Calibri"/>
        <family val="2"/>
      </rPr>
      <t>2</t>
    </r>
    <r>
      <rPr>
        <sz val="11"/>
        <color rgb="FF000000"/>
        <rFont val="Calibri"/>
        <family val="2"/>
      </rPr>
      <t xml:space="preserve"> emissions eg, water vapour, contrails, NOx).
Emission factors without a radiative forcing multiplier only refers to the direct climate change effects (CO</t>
    </r>
    <r>
      <rPr>
        <vertAlign val="subscript"/>
        <sz val="11"/>
        <color rgb="FF000000"/>
        <rFont val="Calibri"/>
        <family val="2"/>
      </rPr>
      <t>2</t>
    </r>
    <r>
      <rPr>
        <sz val="11"/>
        <color rgb="FF000000"/>
        <rFont val="Calibri"/>
        <family val="2"/>
      </rPr>
      <t>, CH</t>
    </r>
    <r>
      <rPr>
        <vertAlign val="subscript"/>
        <sz val="11"/>
        <color rgb="FF000000"/>
        <rFont val="Calibri"/>
        <family val="2"/>
      </rPr>
      <t>4</t>
    </r>
    <r>
      <rPr>
        <sz val="11"/>
        <color rgb="FF000000"/>
        <rFont val="Calibri"/>
        <family val="2"/>
      </rPr>
      <t xml:space="preserve"> and N</t>
    </r>
    <r>
      <rPr>
        <vertAlign val="subscript"/>
        <sz val="11"/>
        <color rgb="FF000000"/>
        <rFont val="Calibri"/>
        <family val="2"/>
      </rPr>
      <t>2</t>
    </r>
    <r>
      <rPr>
        <sz val="11"/>
        <color rgb="FF000000"/>
        <rFont val="Calibri"/>
        <family val="2"/>
      </rPr>
      <t>O).
The provision of these emission factors can be limited by the availability of data in different countries.
If the factor for a certain country is not available below, we recommend using factors from a previous edition of this guidance.
All emissions are expressed as kg of carbon dioxide equivalent (kg CO</t>
    </r>
    <r>
      <rPr>
        <vertAlign val="subscript"/>
        <sz val="11"/>
        <color rgb="FF000000"/>
        <rFont val="Calibri"/>
        <family val="2"/>
      </rPr>
      <t>2</t>
    </r>
    <r>
      <rPr>
        <sz val="11"/>
        <color rgb="FF000000"/>
        <rFont val="Calibri"/>
        <family val="2"/>
      </rPr>
      <t xml:space="preserve">-e) per unit.
</t>
    </r>
  </si>
  <si>
    <t>Total Calculated Emissions for Travel</t>
  </si>
  <si>
    <t>Public transport passenger travel emission factors</t>
  </si>
  <si>
    <t>Bus</t>
  </si>
  <si>
    <t>National Average for Bus</t>
  </si>
  <si>
    <t>pkm</t>
  </si>
  <si>
    <t>Factors unchanged from previous edition</t>
  </si>
  <si>
    <t>d4af640d-022e-4812-a5e0-51f45109608d</t>
  </si>
  <si>
    <t>Electric Bus</t>
  </si>
  <si>
    <t>c9fb6c0e-a5a5-4084-b946-03b6ed424994</t>
  </si>
  <si>
    <t>Diesel Bus</t>
  </si>
  <si>
    <t>20521890-0f01-4174-841b-e7d3a9ad4b4b</t>
  </si>
  <si>
    <t>Hydrogen Bus</t>
  </si>
  <si>
    <t>4a947142-f60e-4d23-85cb-d64cf3ed6bca</t>
  </si>
  <si>
    <t>Average Bus</t>
  </si>
  <si>
    <t>bf29d192-e1dd-4f0d-b5b0-722845b9bfa3</t>
  </si>
  <si>
    <t>Rail</t>
  </si>
  <si>
    <t>Metropolitan Electric</t>
  </si>
  <si>
    <t>1b73ccbf-7f5e-4a85-859c-d2d5bc3f01d6</t>
  </si>
  <si>
    <t>Metropolitan Diesel</t>
  </si>
  <si>
    <t>c0574131-4954-4cc3-bf8f-0aac05d2d122</t>
  </si>
  <si>
    <t>Metropolitan Average</t>
  </si>
  <si>
    <t>de4f0439-640c-4f28-9a76-dbbac99ffbde</t>
  </si>
  <si>
    <t>Ferry</t>
  </si>
  <si>
    <t>Ferry Average</t>
  </si>
  <si>
    <t>9b483de8-d6f8-4879-909b-86594cba42e7</t>
  </si>
  <si>
    <t>Light Passenger Vehicle emission factors</t>
  </si>
  <si>
    <t>Pre 2010 Fleet</t>
  </si>
  <si>
    <t>Petrol vehicle</t>
  </si>
  <si>
    <t>&lt;1350 cc</t>
  </si>
  <si>
    <t>km</t>
  </si>
  <si>
    <t>b693c1fa-60c0-48a7-a22a-94f8682227e5</t>
  </si>
  <si>
    <t>1350–&lt;1600 cc</t>
  </si>
  <si>
    <t>cef3dd05-2092-4db1-a926-7ea370f1aa13</t>
  </si>
  <si>
    <t>1600–&lt;2000 cc</t>
  </si>
  <si>
    <t>c5b87e80-7447-4c06-80b7-2bfe98060688</t>
  </si>
  <si>
    <t>2000–3000 cc</t>
  </si>
  <si>
    <t>fbc71414-1150-4181-a103-0049d57b1b3b</t>
  </si>
  <si>
    <t>≥3000 cc</t>
  </si>
  <si>
    <t>3aa231e2-7cac-41d5-9aaf-0518c2d813ff</t>
  </si>
  <si>
    <t>Diesel vehicle</t>
  </si>
  <si>
    <t>807bd8d7-fa4f-4aae-8b08-bbda4e270126</t>
  </si>
  <si>
    <t>291accc6-c910-4e54-8f52-4522a23134a3</t>
  </si>
  <si>
    <t>28d64843-9461-437e-97ea-d1d9d7720a38</t>
  </si>
  <si>
    <t>2000–&lt;3000 cc</t>
  </si>
  <si>
    <t>b030ab15-dee9-4d9a-bd62-e9280eedac7c</t>
  </si>
  <si>
    <t>8c526723-44b7-4093-a53f-5455b9015b0c</t>
  </si>
  <si>
    <t>Petrol hybrid vehicle</t>
  </si>
  <si>
    <t>66a70980-ce51-456f-a619-4bf39f662438</t>
  </si>
  <si>
    <t>d84d245d-2bfd-4bf5-960e-f6b96286aecb</t>
  </si>
  <si>
    <t>6b094449-b30f-4067-ba3f-819a95ac0147</t>
  </si>
  <si>
    <t>da33b951-acd2-46d9-84d4-cad4acf7ce59</t>
  </si>
  <si>
    <t>022c1e05-acf4-438a-bc46-47bae55f3dc6</t>
  </si>
  <si>
    <t>Diesel Hybrid vehicle</t>
  </si>
  <si>
    <t>18e855cb-bd9b-4ab1-9dcd-b4e935bbd37e</t>
  </si>
  <si>
    <t>62e8495e-4b28-4099-b3cc-b71f2ffcd482</t>
  </si>
  <si>
    <t>2dd4c7df-44d3-4956-b9eb-90ddf25ea9e8</t>
  </si>
  <si>
    <t>471ddfb0-0bb5-44c7-a9b8-1163d1238203</t>
  </si>
  <si>
    <t>9a9e249b-c2a0-43de-bd51-26b0343bfdd3</t>
  </si>
  <si>
    <t>Motorcycle</t>
  </si>
  <si>
    <t>&lt;60cc, petrol</t>
  </si>
  <si>
    <t>fbf55efc-7f1e-400b-a12f-79f7e35b64d1</t>
  </si>
  <si>
    <t>≥ 60cc, petrol</t>
  </si>
  <si>
    <t>ae33aca5-68d0-471e-89ae-5552dc7f0b33</t>
  </si>
  <si>
    <t>2010- 2015 Fleet</t>
  </si>
  <si>
    <t>b693c1fa-60c0-48a7-a22a-94f8682227e5:2</t>
  </si>
  <si>
    <t>cef3dd05-2092-4db1-a926-7ea370f1aa13:2</t>
  </si>
  <si>
    <t>c5b87e80-7447-4c06-80b7-2bfe98060688:2</t>
  </si>
  <si>
    <t>fbc71414-1150-4181-a103-0049d57b1b3b:2</t>
  </si>
  <si>
    <t>3aa231e2-7cac-41d5-9aaf-0518c2d813ff:2</t>
  </si>
  <si>
    <t>807bd8d7-fa4f-4aae-8b08-bbda4e270126:2</t>
  </si>
  <si>
    <t>291accc6-c910-4e54-8f52-4522a23134a3:2</t>
  </si>
  <si>
    <t>28d64843-9461-437e-97ea-d1d9d7720a38:2</t>
  </si>
  <si>
    <t>b030ab15-dee9-4d9a-bd62-e9280eedac7c:2</t>
  </si>
  <si>
    <t>8c526723-44b7-4093-a53f-5455b9015b0c:2</t>
  </si>
  <si>
    <t>66a70980-ce51-456f-a619-4bf39f662438:2</t>
  </si>
  <si>
    <t>d84d245d-2bfd-4bf5-960e-f6b96286aecb:2</t>
  </si>
  <si>
    <t>6b094449-b30f-4067-ba3f-819a95ac0147:2</t>
  </si>
  <si>
    <t>da33b951-acd2-46d9-84d4-cad4acf7ce59:2</t>
  </si>
  <si>
    <t>022c1e05-acf4-438a-bc46-47bae55f3dc6:2</t>
  </si>
  <si>
    <t>18e855cb-bd9b-4ab1-9dcd-b4e935bbd37e:2</t>
  </si>
  <si>
    <t>62e8495e-4b28-4099-b3cc-b71f2ffcd482:2</t>
  </si>
  <si>
    <t>2dd4c7df-44d3-4956-b9eb-90ddf25ea9e8:2</t>
  </si>
  <si>
    <t>471ddfb0-0bb5-44c7-a9b8-1163d1238203:2</t>
  </si>
  <si>
    <t>9a9e249b-c2a0-43de-bd51-26b0343bfdd3:2</t>
  </si>
  <si>
    <t>PHEV (Petrol) - Petrol consumption</t>
  </si>
  <si>
    <t>8b0bdbb4-58d5-4cdf-bc16-1758a447cba3</t>
  </si>
  <si>
    <t>e216e46d-5985-4230-9270-d2deef5761d0</t>
  </si>
  <si>
    <t>6fb61601-bf8c-414f-9119-f63e01205005</t>
  </si>
  <si>
    <t>d14dca11-48a4-4904-a887-932c19803100</t>
  </si>
  <si>
    <t>1ae8cd94-af27-4910-8ce9-33f0cff9c97c</t>
  </si>
  <si>
    <t>PHEV (Petrol) - Electricity consumption</t>
  </si>
  <si>
    <t>09f484f0-c937-474a-9c3c-fcab26051f2e</t>
  </si>
  <si>
    <t>e24c3fef-79d4-4800-b50c-ef19cb99101f</t>
  </si>
  <si>
    <t>2c075f6a-f0b8-4f0a-ace7-e0c9aa9d5d8c</t>
  </si>
  <si>
    <t>a76cab77-9213-4460-8a18-bd6dba1536e3</t>
  </si>
  <si>
    <t>65dd5d2a-9323-4e94-88b1-a89ace146a73</t>
  </si>
  <si>
    <t>PHEV (Diesel) - Diesel consumption</t>
  </si>
  <si>
    <t>370f9c6a-db5c-4fc6-9db4-a2a0f3c09067</t>
  </si>
  <si>
    <t>2bf3649d-d653-46c9-bfc8-13347e7cb340</t>
  </si>
  <si>
    <t>4cf20c73-3089-48db-bf0a-521197c6ad7b</t>
  </si>
  <si>
    <t>7bb34659-7bf7-44a6-9079-244fd97e3d75</t>
  </si>
  <si>
    <t>785e250c-ec89-4f3e-b316-263d585ce6a5</t>
  </si>
  <si>
    <t>PHEV (Diesel) - Electricity consumption</t>
  </si>
  <si>
    <t>ed15bc40-116e-4d4c-bd47-47faabab907c</t>
  </si>
  <si>
    <t>113ca09f-3781-405f-b349-7e463e53b8ac</t>
  </si>
  <si>
    <t>5e998f19-3cad-40aa-96fd-96ea9f7c09b8</t>
  </si>
  <si>
    <t>2e676d81-890c-4350-b4aa-3860150b964a</t>
  </si>
  <si>
    <t>f20ef63f-4ac4-4362-aa01-fe7008686ed2</t>
  </si>
  <si>
    <t>Electric vehicle</t>
  </si>
  <si>
    <t>6c8354b2-224c-4f79-b036-082eec61e050</t>
  </si>
  <si>
    <t>ee00bdee-9c77-45dd-8d4f-da51ff079705</t>
  </si>
  <si>
    <t>6625d4f4-855a-4ef9-9c3f-c002d87c06aa</t>
  </si>
  <si>
    <t>5bd09007-6ac2-4ac2-a536-9047df73a97a</t>
  </si>
  <si>
    <t>38806ec9-8226-4ebc-92b1-2297d3d67e7e</t>
  </si>
  <si>
    <t>fbf55efc-7f1e-400b-a12f-79f7e35b64d1:2</t>
  </si>
  <si>
    <t>ae33aca5-68d0-471e-89ae-5552dc7f0b33:2</t>
  </si>
  <si>
    <t>&lt;60cc, electricity</t>
  </si>
  <si>
    <t>010a2eb9-b775-4795-8956-cb250ea34a0b</t>
  </si>
  <si>
    <t>≥ 60cc, electricity</t>
  </si>
  <si>
    <t>4b786e81-2ec9-448d-9d53-f777962f8dcd</t>
  </si>
  <si>
    <t>2015-2020 Fleet</t>
  </si>
  <si>
    <t>b693c1fa-60c0-48a7-a22a-94f8682227e5:3</t>
  </si>
  <si>
    <t>cef3dd05-2092-4db1-a926-7ea370f1aa13:3</t>
  </si>
  <si>
    <t>c5b87e80-7447-4c06-80b7-2bfe98060688:3</t>
  </si>
  <si>
    <t>fbc71414-1150-4181-a103-0049d57b1b3b:3</t>
  </si>
  <si>
    <t>3aa231e2-7cac-41d5-9aaf-0518c2d813ff:3</t>
  </si>
  <si>
    <t>807bd8d7-fa4f-4aae-8b08-bbda4e270126:3</t>
  </si>
  <si>
    <t>291accc6-c910-4e54-8f52-4522a23134a3:3</t>
  </si>
  <si>
    <t>28d64843-9461-437e-97ea-d1d9d7720a38:3</t>
  </si>
  <si>
    <t>b030ab15-dee9-4d9a-bd62-e9280eedac7c:3</t>
  </si>
  <si>
    <t>8c526723-44b7-4093-a53f-5455b9015b0c:3</t>
  </si>
  <si>
    <t>66a70980-ce51-456f-a619-4bf39f662438:3</t>
  </si>
  <si>
    <t>d84d245d-2bfd-4bf5-960e-f6b96286aecb:3</t>
  </si>
  <si>
    <t>6b094449-b30f-4067-ba3f-819a95ac0147:3</t>
  </si>
  <si>
    <t>da33b951-acd2-46d9-84d4-cad4acf7ce59:3</t>
  </si>
  <si>
    <t>022c1e05-acf4-438a-bc46-47bae55f3dc6:3</t>
  </si>
  <si>
    <t>18e855cb-bd9b-4ab1-9dcd-b4e935bbd37e:3</t>
  </si>
  <si>
    <t>62e8495e-4b28-4099-b3cc-b71f2ffcd482:3</t>
  </si>
  <si>
    <t>2dd4c7df-44d3-4956-b9eb-90ddf25ea9e8:3</t>
  </si>
  <si>
    <t>471ddfb0-0bb5-44c7-a9b8-1163d1238203:3</t>
  </si>
  <si>
    <t>9a9e249b-c2a0-43de-bd51-26b0343bfdd3:3</t>
  </si>
  <si>
    <t>8b0bdbb4-58d5-4cdf-bc16-1758a447cba3:2</t>
  </si>
  <si>
    <t>e216e46d-5985-4230-9270-d2deef5761d0:2</t>
  </si>
  <si>
    <t>6fb61601-bf8c-414f-9119-f63e01205005:2</t>
  </si>
  <si>
    <t>d14dca11-48a4-4904-a887-932c19803100:2</t>
  </si>
  <si>
    <t>1ae8cd94-af27-4910-8ce9-33f0cff9c97c:2</t>
  </si>
  <si>
    <t>09f484f0-c937-474a-9c3c-fcab26051f2e:2</t>
  </si>
  <si>
    <t>e24c3fef-79d4-4800-b50c-ef19cb99101f:2</t>
  </si>
  <si>
    <t>2c075f6a-f0b8-4f0a-ace7-e0c9aa9d5d8c:2</t>
  </si>
  <si>
    <t>a76cab77-9213-4460-8a18-bd6dba1536e3:2</t>
  </si>
  <si>
    <t>65dd5d2a-9323-4e94-88b1-a89ace146a73:2</t>
  </si>
  <si>
    <t>370f9c6a-db5c-4fc6-9db4-a2a0f3c09067:2</t>
  </si>
  <si>
    <t>2bf3649d-d653-46c9-bfc8-13347e7cb340:2</t>
  </si>
  <si>
    <t>4cf20c73-3089-48db-bf0a-521197c6ad7b:2</t>
  </si>
  <si>
    <t>7bb34659-7bf7-44a6-9079-244fd97e3d75:2</t>
  </si>
  <si>
    <t>785e250c-ec89-4f3e-b316-263d585ce6a5:2</t>
  </si>
  <si>
    <t>ed15bc40-116e-4d4c-bd47-47faabab907c:2</t>
  </si>
  <si>
    <t>113ca09f-3781-405f-b349-7e463e53b8ac:2</t>
  </si>
  <si>
    <t>5e998f19-3cad-40aa-96fd-96ea9f7c09b8:2</t>
  </si>
  <si>
    <t>2e676d81-890c-4350-b4aa-3860150b964a:2</t>
  </si>
  <si>
    <t>f20ef63f-4ac4-4362-aa01-fe7008686ed2:2</t>
  </si>
  <si>
    <t>6c8354b2-224c-4f79-b036-082eec61e050:2</t>
  </si>
  <si>
    <t>ee00bdee-9c77-45dd-8d4f-da51ff079705:2</t>
  </si>
  <si>
    <t>6625d4f4-855a-4ef9-9c3f-c002d87c06aa:2</t>
  </si>
  <si>
    <t>5bd09007-6ac2-4ac2-a536-9047df73a97a:2</t>
  </si>
  <si>
    <t>38806ec9-8226-4ebc-92b1-2297d3d67e7e:2</t>
  </si>
  <si>
    <t>fbf55efc-7f1e-400b-a12f-79f7e35b64d1:3</t>
  </si>
  <si>
    <t>ae33aca5-68d0-471e-89ae-5552dc7f0b33:3</t>
  </si>
  <si>
    <t>010a2eb9-b775-4795-8956-cb250ea34a0b:2</t>
  </si>
  <si>
    <t>4b786e81-2ec9-448d-9d53-f777962f8dcd:2</t>
  </si>
  <si>
    <t>Post 2020 Fleet</t>
  </si>
  <si>
    <t>b693c1fa-60c0-48a7-a22a-94f8682227e5:4</t>
  </si>
  <si>
    <t>cef3dd05-2092-4db1-a926-7ea370f1aa13:4</t>
  </si>
  <si>
    <t>c5b87e80-7447-4c06-80b7-2bfe98060688:4</t>
  </si>
  <si>
    <t>fbc71414-1150-4181-a103-0049d57b1b3b:4</t>
  </si>
  <si>
    <t>3aa231e2-7cac-41d5-9aaf-0518c2d813ff:4</t>
  </si>
  <si>
    <t>807bd8d7-fa4f-4aae-8b08-bbda4e270126:4</t>
  </si>
  <si>
    <t>291accc6-c910-4e54-8f52-4522a23134a3:4</t>
  </si>
  <si>
    <t>28d64843-9461-437e-97ea-d1d9d7720a38:4</t>
  </si>
  <si>
    <t>b030ab15-dee9-4d9a-bd62-e9280eedac7c:4</t>
  </si>
  <si>
    <t>8c526723-44b7-4093-a53f-5455b9015b0c:4</t>
  </si>
  <si>
    <t>66a70980-ce51-456f-a619-4bf39f662438:4</t>
  </si>
  <si>
    <t>d84d245d-2bfd-4bf5-960e-f6b96286aecb:4</t>
  </si>
  <si>
    <t>6b094449-b30f-4067-ba3f-819a95ac0147:4</t>
  </si>
  <si>
    <t>da33b951-acd2-46d9-84d4-cad4acf7ce59:4</t>
  </si>
  <si>
    <t>022c1e05-acf4-438a-bc46-47bae55f3dc6:4</t>
  </si>
  <si>
    <t>18e855cb-bd9b-4ab1-9dcd-b4e935bbd37e:4</t>
  </si>
  <si>
    <t>62e8495e-4b28-4099-b3cc-b71f2ffcd482:4</t>
  </si>
  <si>
    <t>2dd4c7df-44d3-4956-b9eb-90ddf25ea9e8:4</t>
  </si>
  <si>
    <t>471ddfb0-0bb5-44c7-a9b8-1163d1238203:4</t>
  </si>
  <si>
    <t>9a9e249b-c2a0-43de-bd51-26b0343bfdd3:4</t>
  </si>
  <si>
    <t>8b0bdbb4-58d5-4cdf-bc16-1758a447cba3:3</t>
  </si>
  <si>
    <t>e216e46d-5985-4230-9270-d2deef5761d0:3</t>
  </si>
  <si>
    <t>6fb61601-bf8c-414f-9119-f63e01205005:3</t>
  </si>
  <si>
    <t>d14dca11-48a4-4904-a887-932c19803100:3</t>
  </si>
  <si>
    <t>1ae8cd94-af27-4910-8ce9-33f0cff9c97c:3</t>
  </si>
  <si>
    <t>09f484f0-c937-474a-9c3c-fcab26051f2e:3</t>
  </si>
  <si>
    <t>e24c3fef-79d4-4800-b50c-ef19cb99101f:3</t>
  </si>
  <si>
    <t>2c075f6a-f0b8-4f0a-ace7-e0c9aa9d5d8c:3</t>
  </si>
  <si>
    <t>a76cab77-9213-4460-8a18-bd6dba1536e3:3</t>
  </si>
  <si>
    <t>65dd5d2a-9323-4e94-88b1-a89ace146a73:3</t>
  </si>
  <si>
    <t>370f9c6a-db5c-4fc6-9db4-a2a0f3c09067:3</t>
  </si>
  <si>
    <t>2bf3649d-d653-46c9-bfc8-13347e7cb340:3</t>
  </si>
  <si>
    <t>4cf20c73-3089-48db-bf0a-521197c6ad7b:3</t>
  </si>
  <si>
    <t>7bb34659-7bf7-44a6-9079-244fd97e3d75:3</t>
  </si>
  <si>
    <t>785e250c-ec89-4f3e-b316-263d585ce6a5:3</t>
  </si>
  <si>
    <t>ed15bc40-116e-4d4c-bd47-47faabab907c:3</t>
  </si>
  <si>
    <t>113ca09f-3781-405f-b349-7e463e53b8ac:3</t>
  </si>
  <si>
    <t>5e998f19-3cad-40aa-96fd-96ea9f7c09b8:3</t>
  </si>
  <si>
    <t>2e676d81-890c-4350-b4aa-3860150b964a:3</t>
  </si>
  <si>
    <t>f20ef63f-4ac4-4362-aa01-fe7008686ed2:3</t>
  </si>
  <si>
    <t>6c8354b2-224c-4f79-b036-082eec61e050:3</t>
  </si>
  <si>
    <t>ee00bdee-9c77-45dd-8d4f-da51ff079705:3</t>
  </si>
  <si>
    <t>6625d4f4-855a-4ef9-9c3f-c002d87c06aa:3</t>
  </si>
  <si>
    <t>5bd09007-6ac2-4ac2-a536-9047df73a97a:3</t>
  </si>
  <si>
    <t>38806ec9-8226-4ebc-92b1-2297d3d67e7e:3</t>
  </si>
  <si>
    <t>fbf55efc-7f1e-400b-a12f-79f7e35b64d1:4</t>
  </si>
  <si>
    <t>ae33aca5-68d0-471e-89ae-5552dc7f0b33:4</t>
  </si>
  <si>
    <t>010a2eb9-b775-4795-8956-cb250ea34a0b:3</t>
  </si>
  <si>
    <t>4b786e81-2ec9-448d-9d53-f777962f8dcd:3</t>
  </si>
  <si>
    <t>Default emission factors</t>
  </si>
  <si>
    <t>Private car default</t>
  </si>
  <si>
    <t>Petrol</t>
  </si>
  <si>
    <t>5342e287-f6a1-49b8-a07f-d1ec6b16169f</t>
  </si>
  <si>
    <t>0590d590-08ba-4a4f-8a2b-fd031542ae87</t>
  </si>
  <si>
    <t>Petrol hybrid</t>
  </si>
  <si>
    <t>a743e6ad-9ae4-4ff6-908c-1a6f8c971941</t>
  </si>
  <si>
    <t>Diesel hybrid</t>
  </si>
  <si>
    <t>bacbb0b5-1ece-4e99-943d-84eb8ddc5327</t>
  </si>
  <si>
    <t>a966a291-0507-452c-b3ae-1585fd5a9156</t>
  </si>
  <si>
    <t>571750b8-1aed-46f1-8dbe-de80e9ee4c82</t>
  </si>
  <si>
    <t>68abfb67-5bbf-4000-8745-560d9cec8fa0</t>
  </si>
  <si>
    <t>fa016cf8-1938-4475-bacc-7d977fc6391d</t>
  </si>
  <si>
    <t>Electric</t>
  </si>
  <si>
    <t>262a697e-aebf-414c-a2fe-3caa0678ff9a</t>
  </si>
  <si>
    <t>Rental car default</t>
  </si>
  <si>
    <t>42633150-8ed9-41ba-9636-dab8cdf51d6e</t>
  </si>
  <si>
    <t>edb5d1e2-f6af-4790-b8b9-dec64bd621d0</t>
  </si>
  <si>
    <t>c2f80b27-9f76-4337-890c-19ee38b71e4a</t>
  </si>
  <si>
    <t>7feac5c8-6927-4f69-8213-2e781a4e497e</t>
  </si>
  <si>
    <t>4784770c-e341-402f-8c27-28aca8d996a0</t>
  </si>
  <si>
    <t>65e09de8-ba52-44b0-9671-3857356ecce7</t>
  </si>
  <si>
    <t>66431752-dac4-4d83-bb06-f6aa7e14868c</t>
  </si>
  <si>
    <t>15463a81-c80f-4610-b018-f0b6330d2b9b</t>
  </si>
  <si>
    <t>bbc79873-437d-4b94-928c-2d72f32b3d2b</t>
  </si>
  <si>
    <t>Taxi Travel</t>
  </si>
  <si>
    <t>Regular</t>
  </si>
  <si>
    <t>3e63aab2-b57c-42ad-b92d-6aac1d33cd4c</t>
  </si>
  <si>
    <t>Regular - dollars spent</t>
  </si>
  <si>
    <t>$</t>
  </si>
  <si>
    <t>ed8f7041-5b42-4042-8292-1ea57e3cb8c1</t>
  </si>
  <si>
    <t>4ef974e7-a3b0-412a-b336-33cb6302a6ab</t>
  </si>
  <si>
    <t>Petrol hybrid - dollars spent</t>
  </si>
  <si>
    <t>30b71d3b-ab4b-4a68-995c-92d9fb6d3b62</t>
  </si>
  <si>
    <t>52c47979-b364-454d-bc05-f8630eb46c39</t>
  </si>
  <si>
    <t>Electric - dollars spent</t>
  </si>
  <si>
    <t>44c69d71-8ae1-4342-b1f9-349d5f624dd2</t>
  </si>
  <si>
    <t>Public Transport  vehicle emission factors</t>
  </si>
  <si>
    <t>&lt; 7500 kg</t>
  </si>
  <si>
    <t>Pre-2010 model</t>
  </si>
  <si>
    <t>3d20bae5-23a4-4518-a359-799366283f6b</t>
  </si>
  <si>
    <t>7500 - 12000 kg</t>
  </si>
  <si>
    <t>7136e4d2-4719-4e6b-90fa-280521c2467b</t>
  </si>
  <si>
    <t>≥ 12000 kg</t>
  </si>
  <si>
    <t>c8ffd029-3c31-4f24-b2e4-88fdd89aecd9</t>
  </si>
  <si>
    <t>Diesel hybrid bus</t>
  </si>
  <si>
    <t>9fd8f789-4cd6-4f77-836d-7c564e57ad51</t>
  </si>
  <si>
    <t>c4315c68-f74b-4ff6-8508-4a968cd8e44b</t>
  </si>
  <si>
    <t>6788a322-496b-4b58-90d9-a1c1f40d5802</t>
  </si>
  <si>
    <t>Electric bus</t>
  </si>
  <si>
    <t>0042f268-e62c-41fc-b51c-23467dbc9807</t>
  </si>
  <si>
    <t>f54edf9e-9daa-43cc-9a41-72b22ad7a279</t>
  </si>
  <si>
    <t>c8078d63-fc30-4a36-baf4-02de5c5b69d1</t>
  </si>
  <si>
    <t>DOMESTIC AIR TRAVEL Passenger emission factors</t>
  </si>
  <si>
    <t>With Radiative Forcing factors</t>
  </si>
  <si>
    <t>Domestic flight (2023)</t>
  </si>
  <si>
    <t>National average</t>
  </si>
  <si>
    <t>67d1c1e7-5d16-4fbd-befb-f89930aafe36</t>
  </si>
  <si>
    <t>Large aircraft</t>
  </si>
  <si>
    <t>51ed4d10-1b9b-4d26-872a-fcad3cb24b5f</t>
  </si>
  <si>
    <t>Medium aircraft</t>
  </si>
  <si>
    <t>3ff09271-a89d-457c-8b0b-67457ba96bd2</t>
  </si>
  <si>
    <t>Small aircraft</t>
  </si>
  <si>
    <t>8d78e184-b86a-4206-873b-a05a2ba78663</t>
  </si>
  <si>
    <t>Without Radiative Forcing factors</t>
  </si>
  <si>
    <t>67d1c1e7-5d16-4fbd-befb-f89930aafe36:2</t>
  </si>
  <si>
    <t>51ed4d10-1b9b-4d26-872a-fcad3cb24b5f:2</t>
  </si>
  <si>
    <t>3ff09271-a89d-457c-8b0b-67457ba96bd2:2</t>
  </si>
  <si>
    <t>8d78e184-b86a-4206-873b-a05a2ba78663:2</t>
  </si>
  <si>
    <t>INTERNATIONAL AIR TRAVEL Passenger emission factors</t>
  </si>
  <si>
    <t>Short-haul (&lt;3700km)</t>
  </si>
  <si>
    <t>Average passenger</t>
  </si>
  <si>
    <t>Taken from UK DESNZ 2022</t>
  </si>
  <si>
    <t>29cc3bf4-6af1-414d-8f21-c1af715b1ef5</t>
  </si>
  <si>
    <t>Economy class</t>
  </si>
  <si>
    <t>30641960-fec5-475c-b81b-37204c609f27</t>
  </si>
  <si>
    <t>Business class</t>
  </si>
  <si>
    <t>6233a005-da81-4cf9-ad5f-45626e9e3e4d</t>
  </si>
  <si>
    <t>Long-haul (&gt;3700km)</t>
  </si>
  <si>
    <t>2b4ef086-ef39-4d0d-b58d-fb25fbb2ae93</t>
  </si>
  <si>
    <t>aa63989e-d125-477b-92dc-a000b1b1d4b7</t>
  </si>
  <si>
    <t>Premium economy class</t>
  </si>
  <si>
    <t>a329b349-4150-4a96-9a3a-cbc1a185e48d</t>
  </si>
  <si>
    <t>ab75f8ef-cfc2-4d30-9848-a7b8205631c6</t>
  </si>
  <si>
    <t>First class</t>
  </si>
  <si>
    <t>bfd0f268-1dba-4d23-8282-aaeaf3c7afa2</t>
  </si>
  <si>
    <t>29cc3bf4-6af1-414d-8f21-c1af715b1ef5:2</t>
  </si>
  <si>
    <t>30641960-fec5-475c-b81b-37204c609f27:2</t>
  </si>
  <si>
    <t>6233a005-da81-4cf9-ad5f-45626e9e3e4d:2</t>
  </si>
  <si>
    <t>2b4ef086-ef39-4d0d-b58d-fb25fbb2ae93:2</t>
  </si>
  <si>
    <t>aa63989e-d125-477b-92dc-a000b1b1d4b7:2</t>
  </si>
  <si>
    <t>a329b349-4150-4a96-9a3a-cbc1a185e48d:2</t>
  </si>
  <si>
    <t>ab75f8ef-cfc2-4d30-9848-a7b8205631c6:2</t>
  </si>
  <si>
    <t>bfd0f268-1dba-4d23-8282-aaeaf3c7afa2:2</t>
  </si>
  <si>
    <t>Helicopter emission factors</t>
  </si>
  <si>
    <t>Helicopter</t>
  </si>
  <si>
    <t>Eurocopter AS 350B Squirrel</t>
  </si>
  <si>
    <t>hours</t>
  </si>
  <si>
    <t>Combination of rotations and cruise per flight-hour</t>
  </si>
  <si>
    <t>ffe60626-db07-450b-8216-4dd4a72a29b5</t>
  </si>
  <si>
    <t>Eurocopter AS 350B3 Squirrel</t>
  </si>
  <si>
    <t>69a957e4-ddbb-492e-be11-880a39237ead</t>
  </si>
  <si>
    <t>Robinson R44</t>
  </si>
  <si>
    <t>9ec391d9-2484-438b-9448-6034748ce73b</t>
  </si>
  <si>
    <t>Robinson R22 Beta</t>
  </si>
  <si>
    <t>bd79823f-3de6-485c-b4e5-5b8866210cb1</t>
  </si>
  <si>
    <t>Bell 206B</t>
  </si>
  <si>
    <t>f606d3a5-cc6a-4807-a94d-6e2aaef86f84</t>
  </si>
  <si>
    <t>Hotel stay emission factor</t>
  </si>
  <si>
    <t>Hotel stay</t>
  </si>
  <si>
    <t>Argentina</t>
  </si>
  <si>
    <t>Room per night</t>
  </si>
  <si>
    <t>See CHSB tool Guidance</t>
  </si>
  <si>
    <t>4e629be6-eddb-4085-becd-7a8289e8ec5a</t>
  </si>
  <si>
    <t>Australia</t>
  </si>
  <si>
    <t>630d9d76-04ed-460f-8b15-9bd098cf3f16</t>
  </si>
  <si>
    <t>Austria</t>
  </si>
  <si>
    <t>88473af7-67db-441d-a909-5e780ab3f667</t>
  </si>
  <si>
    <t>Bahrain</t>
  </si>
  <si>
    <t>cdddb37a-7284-492d-b560-3c592767b304</t>
  </si>
  <si>
    <t>Belgium</t>
  </si>
  <si>
    <t>7f730a4e-979e-43a2-8bb4-9a19f01c07cb</t>
  </si>
  <si>
    <t>Brazil</t>
  </si>
  <si>
    <t>8b77f792-0431-4c4b-9217-2983f1231a40</t>
  </si>
  <si>
    <t>Canada</t>
  </si>
  <si>
    <t>d060e9e7-db15-4a16-9d09-d8be47ca8440</t>
  </si>
  <si>
    <t>Caribbean Region</t>
  </si>
  <si>
    <t>6bcc9fe7-8945-4477-b19d-dcd1521dca26</t>
  </si>
  <si>
    <t>Chile</t>
  </si>
  <si>
    <t>a6f2e636-bb29-4d4a-92a9-fc9d5e40070d</t>
  </si>
  <si>
    <t>China</t>
  </si>
  <si>
    <t>bc66fdf6-1cf5-4840-a968-3ab00a1067b4</t>
  </si>
  <si>
    <t>Colombia</t>
  </si>
  <si>
    <t>d0f98549-3552-4be1-a4ce-26a0de415f5d</t>
  </si>
  <si>
    <t>Costa Rica</t>
  </si>
  <si>
    <t>ac06ad94-4f6e-4f63-9d4e-3e4de3eb1748</t>
  </si>
  <si>
    <t>Czech Republic</t>
  </si>
  <si>
    <t>8bb0faea-5c05-4216-818f-8abbfe1693a4</t>
  </si>
  <si>
    <t>Egypt</t>
  </si>
  <si>
    <t>dabf0ee5-ee51-458c-83dc-63daf929cca8</t>
  </si>
  <si>
    <t>Fiji</t>
  </si>
  <si>
    <t>a52878d7-f79c-4a5e-8ff4-770b87fd5d82</t>
  </si>
  <si>
    <t>Finland</t>
  </si>
  <si>
    <t>da6e4dca-6f8c-4c79-b678-ea274e7538c0</t>
  </si>
  <si>
    <t>France</t>
  </si>
  <si>
    <t>ca0eafa2-db30-4e63-86ca-c78affa0b640</t>
  </si>
  <si>
    <t>Germany</t>
  </si>
  <si>
    <t>25b62bac-ab7f-4d1f-90d9-88bd5edb5ae6</t>
  </si>
  <si>
    <t>Greece</t>
  </si>
  <si>
    <t>0db308f7-5aa1-48ea-ad32-124f7febe9e9</t>
  </si>
  <si>
    <t>Hong Kong</t>
  </si>
  <si>
    <t>d3425838-9b05-40c6-b31c-d27cf746c7ca</t>
  </si>
  <si>
    <t>Hungary</t>
  </si>
  <si>
    <t>91776846-453c-4204-8dd8-535b7cdf1f76</t>
  </si>
  <si>
    <t>India</t>
  </si>
  <si>
    <t>9aa2e4ad-ce99-4806-b8ec-3f1bfcabcb1e</t>
  </si>
  <si>
    <t>Indonesia</t>
  </si>
  <si>
    <t>d6495ca2-5fe2-4434-95ee-9ace9547ea24</t>
  </si>
  <si>
    <t>Ireland</t>
  </si>
  <si>
    <t>c54f31a4-de37-498a-88b8-9701511ada5c</t>
  </si>
  <si>
    <t>Israel</t>
  </si>
  <si>
    <t>35583f4c-b290-4589-b1e6-466fbc2b4d74</t>
  </si>
  <si>
    <t>Italy</t>
  </si>
  <si>
    <t>eb381dfc-25f7-4897-bc6b-61dadb68045f</t>
  </si>
  <si>
    <t>Japan</t>
  </si>
  <si>
    <t>8030422b-a94f-4a24-b9f3-2d3e6d8bf2d2</t>
  </si>
  <si>
    <t>Jordan</t>
  </si>
  <si>
    <t>fb5a3a41-f1cf-4658-8d1c-c54cad71d062</t>
  </si>
  <si>
    <t>Kazakhstan</t>
  </si>
  <si>
    <t>e0b48361-c87f-4ea3-b38e-c250d177630f</t>
  </si>
  <si>
    <t>Macau</t>
  </si>
  <si>
    <t>ba3b2b93-b0b2-4370-bbda-123cfdab0daf</t>
  </si>
  <si>
    <t>Malaysia</t>
  </si>
  <si>
    <t>788557ed-90e1-46c7-8aae-fea29056ed6f</t>
  </si>
  <si>
    <t>Maldives</t>
  </si>
  <si>
    <t>e1461d0f-e386-4acf-a5a0-c952e63895ea</t>
  </si>
  <si>
    <t>Mexico</t>
  </si>
  <si>
    <t>3956bcc3-91c8-4548-80c6-7ee6ebcac3e1</t>
  </si>
  <si>
    <t>Morocco</t>
  </si>
  <si>
    <t>b575f154-d852-4ff4-8f9a-938fa2aace19</t>
  </si>
  <si>
    <t>Netherlands</t>
  </si>
  <si>
    <t>4b577f0d-b7ce-4cf1-baa1-c88e6babdf62</t>
  </si>
  <si>
    <t>New Zealand</t>
  </si>
  <si>
    <t>22a80144-9f89-4a7a-941e-f40943ee6bb4</t>
  </si>
  <si>
    <t>Oman</t>
  </si>
  <si>
    <t>52cd4c1f-3901-4bb0-b8c0-bfa1e14dffac</t>
  </si>
  <si>
    <t>Panama</t>
  </si>
  <si>
    <t>d35c5181-06d0-4bb1-8dcf-aa5ef0b9e9ca</t>
  </si>
  <si>
    <t>Peru</t>
  </si>
  <si>
    <t>fa9d72e6-8dca-4502-b7f4-8ccf6fb212db</t>
  </si>
  <si>
    <t>Philippines</t>
  </si>
  <si>
    <t>23a20aa5-62b3-4d2f-acd0-3c2b0cbeb5c7</t>
  </si>
  <si>
    <t>Poland</t>
  </si>
  <si>
    <t>965cc11c-9899-4511-b086-014e2c6410d0</t>
  </si>
  <si>
    <t>Portugal</t>
  </si>
  <si>
    <t>f8dcce4a-b4ec-437a-bc93-89eb6ddea705</t>
  </si>
  <si>
    <t>Qatar</t>
  </si>
  <si>
    <t>881a2c6f-9a00-45c1-b622-fc9acef6fc75</t>
  </si>
  <si>
    <t>Romania</t>
  </si>
  <si>
    <t>66203ece-3f60-4d2e-afe8-7675039dcbe5</t>
  </si>
  <si>
    <t>Russian Federation</t>
  </si>
  <si>
    <t>cb979c26-6c53-4d1f-9f9e-99fcade16505</t>
  </si>
  <si>
    <t>Saudi Arabia</t>
  </si>
  <si>
    <t>c13d4236-4f85-42a6-86f7-5ba21bc24489</t>
  </si>
  <si>
    <t>Singapore</t>
  </si>
  <si>
    <t>d414f294-90fe-4d8c-9f4c-1f994f06fdc8</t>
  </si>
  <si>
    <t>South Africa</t>
  </si>
  <si>
    <t>0b115bd4-3f54-47d9-9d32-7ebf53102aaa</t>
  </si>
  <si>
    <t>South Korea</t>
  </si>
  <si>
    <t>445d1a5f-051e-4625-9bde-4d330372c90c</t>
  </si>
  <si>
    <t>Spain</t>
  </si>
  <si>
    <t>4f8b43e6-8bff-4b68-82e4-0b2ea886fcce</t>
  </si>
  <si>
    <t>Switzerland</t>
  </si>
  <si>
    <t>1c8adf23-0d64-4e6a-a278-436aae25f74c</t>
  </si>
  <si>
    <t>Thailand</t>
  </si>
  <si>
    <t>3e20dc47-6f22-48d7-9f49-09f793cfcfc6</t>
  </si>
  <si>
    <t>Turkey</t>
  </si>
  <si>
    <t>ca94fc41-c37b-4d83-9a7f-a4f5548b6ec2</t>
  </si>
  <si>
    <t>United Arab Emirates</t>
  </si>
  <si>
    <t>f9730c0f-b1d1-411f-9ef5-a43693ae9770</t>
  </si>
  <si>
    <t>United Kingdom</t>
  </si>
  <si>
    <t>e3bc1bcb-b35f-4e30-9842-6c2272bd2d06</t>
  </si>
  <si>
    <t>United States</t>
  </si>
  <si>
    <t>e8af009d-85c7-403d-bb58-71967829d5f4</t>
  </si>
  <si>
    <t>Vietnam</t>
  </si>
  <si>
    <t>fe5fc659-66bc-43f7-a18b-bdfafda35b6e</t>
  </si>
  <si>
    <t>Freight transport emission factors</t>
  </si>
  <si>
    <r>
      <t>In order to correctly account for freight emissions, note the difference between the units km and tonne.
kms.
Factors with the unit km assume an averaging loading of the vehicle.
Factors with the unit tonne.
kms reflect emissions associated with tranporting one tonne of goods a distance of one kilometre.
This needs to be pre-calculated prior to use these factors.
All emissions are expressed as kg of carbon dioxide equivalent (kg CO</t>
    </r>
    <r>
      <rPr>
        <vertAlign val="subscript"/>
        <sz val="11"/>
        <color rgb="FF000000"/>
        <rFont val="Calibri"/>
        <family val="2"/>
      </rPr>
      <t>2</t>
    </r>
    <r>
      <rPr>
        <sz val="11"/>
        <color rgb="FF000000"/>
        <rFont val="Calibri"/>
        <family val="2"/>
      </rPr>
      <t xml:space="preserve">-e) per unit.
</t>
    </r>
  </si>
  <si>
    <t>Total Calculated Emissions for Freight transport</t>
  </si>
  <si>
    <t>Road Freighting goods in New Zealand</t>
  </si>
  <si>
    <t>Long-haul heavy truck</t>
  </si>
  <si>
    <t>tkm</t>
  </si>
  <si>
    <t>Assumed majority of long-haul heavy trucks are diesel</t>
  </si>
  <si>
    <t>4ecb62d0-dcdc-491c-998a-7954887b7e78</t>
  </si>
  <si>
    <t>Urban delivery heavy truck</t>
  </si>
  <si>
    <t>Assumed majority of urban delivery heavy trucks are diesel</t>
  </si>
  <si>
    <t>419e116f-3321-4686-93a7-cd2ac8505a32</t>
  </si>
  <si>
    <t>All trucks</t>
  </si>
  <si>
    <t>Assumed diesel as 79% of goods vans/trucks and utility vehicles are diesel</t>
  </si>
  <si>
    <t>a5bc0f23-65be-4905-8b1e-7af29419eb47</t>
  </si>
  <si>
    <t>ROAD freight emission factors for Light commercial vehicles</t>
  </si>
  <si>
    <t>b35f4a58-f4bc-4318-8102-ae800bf67d79</t>
  </si>
  <si>
    <t>1350 - &lt;1600 cc</t>
  </si>
  <si>
    <t>f426be98-85c3-4aa7-95f8-4b960af381cc</t>
  </si>
  <si>
    <t>1600 -&lt;2000 cc</t>
  </si>
  <si>
    <t>ed40b516-f568-4398-bb64-2ea087527591</t>
  </si>
  <si>
    <t>2000 - &lt;3000 cc</t>
  </si>
  <si>
    <t>07008468-f18a-4ec4-9558-84344fc5a704</t>
  </si>
  <si>
    <t>d6593ed8-0c1b-4954-86a9-2b167bb354f1</t>
  </si>
  <si>
    <t>37f7e193-1dc0-433b-a817-f607b1bdbfeb</t>
  </si>
  <si>
    <t>67763782-b5cb-43ff-9343-8521aba0ab07</t>
  </si>
  <si>
    <t>92bdf71b-cc5f-4ffc-bd88-ae2b01bcd888</t>
  </si>
  <si>
    <t>a56e64ad-d53e-4c75-a94b-c259eaa5935b</t>
  </si>
  <si>
    <t>8e536614-3404-476e-9b15-cfd5485ffa3a</t>
  </si>
  <si>
    <t>b9bf4481-aaa4-4f03-8d75-ded07b7baa48</t>
  </si>
  <si>
    <t>56b02d99-fdbf-4419-89e8-87fc5556a0c0</t>
  </si>
  <si>
    <t>5e314718-e549-4a56-8d5f-ef26818a5d9c</t>
  </si>
  <si>
    <t>ff9987db-9d4c-4f5c-9bb0-da1685d5becb</t>
  </si>
  <si>
    <t>9cd96dd1-ce36-4923-8838-61a1bae04210</t>
  </si>
  <si>
    <t>ebc8627b-ad86-44aa-b553-cc87a0055507</t>
  </si>
  <si>
    <t>f30472ee-9cd5-492e-b120-73f186477e92</t>
  </si>
  <si>
    <t>cffcd54a-ae3d-4018-82c5-c29a0fff854b</t>
  </si>
  <si>
    <t>b12aa399-60b4-4df9-a1e3-2a6db2ef7baa</t>
  </si>
  <si>
    <t>50b6dd15-146e-42be-a97d-0b748104a891</t>
  </si>
  <si>
    <t>2010 - 2015 Fleet</t>
  </si>
  <si>
    <t>b35f4a58-f4bc-4318-8102-ae800bf67d79:2</t>
  </si>
  <si>
    <t>f426be98-85c3-4aa7-95f8-4b960af381cc:2</t>
  </si>
  <si>
    <t>ed40b516-f568-4398-bb64-2ea087527591:2</t>
  </si>
  <si>
    <t>07008468-f18a-4ec4-9558-84344fc5a704:2</t>
  </si>
  <si>
    <t>d6593ed8-0c1b-4954-86a9-2b167bb354f1:2</t>
  </si>
  <si>
    <t>37f7e193-1dc0-433b-a817-f607b1bdbfeb:2</t>
  </si>
  <si>
    <t>67763782-b5cb-43ff-9343-8521aba0ab07:2</t>
  </si>
  <si>
    <t>92bdf71b-cc5f-4ffc-bd88-ae2b01bcd888:2</t>
  </si>
  <si>
    <t>a56e64ad-d53e-4c75-a94b-c259eaa5935b:2</t>
  </si>
  <si>
    <t>8e536614-3404-476e-9b15-cfd5485ffa3a:2</t>
  </si>
  <si>
    <t>b9bf4481-aaa4-4f03-8d75-ded07b7baa48:2</t>
  </si>
  <si>
    <t>56b02d99-fdbf-4419-89e8-87fc5556a0c0:2</t>
  </si>
  <si>
    <t>5e314718-e549-4a56-8d5f-ef26818a5d9c:2</t>
  </si>
  <si>
    <t>ff9987db-9d4c-4f5c-9bb0-da1685d5becb:2</t>
  </si>
  <si>
    <t>9cd96dd1-ce36-4923-8838-61a1bae04210:2</t>
  </si>
  <si>
    <t>ebc8627b-ad86-44aa-b553-cc87a0055507:2</t>
  </si>
  <si>
    <t>f30472ee-9cd5-492e-b120-73f186477e92:2</t>
  </si>
  <si>
    <t>cffcd54a-ae3d-4018-82c5-c29a0fff854b:2</t>
  </si>
  <si>
    <t>b12aa399-60b4-4df9-a1e3-2a6db2ef7baa:2</t>
  </si>
  <si>
    <t>50b6dd15-146e-42be-a97d-0b748104a891:2</t>
  </si>
  <si>
    <t>5fdf320e-164f-4992-8de7-9cba0c44ac6d</t>
  </si>
  <si>
    <t>ed0b69e4-76a3-4c82-b2bd-76b41a5804e9</t>
  </si>
  <si>
    <t>3c66e387-9e7a-44ad-b6e5-e38a1dd34e9b</t>
  </si>
  <si>
    <t>261bd030-fe8e-4fc3-9c08-262c22fd2471</t>
  </si>
  <si>
    <t>4a1a4401-c323-4e47-ba46-f883386a517a</t>
  </si>
  <si>
    <t>8f57f5e7-4a54-4032-bbd1-1982564a37e9</t>
  </si>
  <si>
    <t>96c79a33-a4d4-4d1b-9331-1c9e33307462</t>
  </si>
  <si>
    <t>a1ddaf6b-2780-411f-b822-eeeecb2b63e9</t>
  </si>
  <si>
    <t>148d3391-97fe-4a1d-88d7-1018c61e353d</t>
  </si>
  <si>
    <t>221cbdae-d00d-4da2-918f-163624fc2444</t>
  </si>
  <si>
    <t>650dda4a-5332-4237-9d48-537513866c8c</t>
  </si>
  <si>
    <t>485b7047-80d9-4d94-bfc4-9efbd91ff063</t>
  </si>
  <si>
    <t>9af0474c-3132-413f-a93e-05d6f7f90f52</t>
  </si>
  <si>
    <t>d78310fa-ad85-4cd7-b892-2c2702b56c2a</t>
  </si>
  <si>
    <t>67a1f0d5-1ed5-4e7c-b583-5af4e1d390a8</t>
  </si>
  <si>
    <t>4cc75099-5ae8-44ec-bfc4-6b32777de4f6</t>
  </si>
  <si>
    <t>e9f4d5f1-e277-4a1c-bb26-b2717885b41f</t>
  </si>
  <si>
    <t>6e4f4af5-3780-4b75-b4f7-f59fdb50ce54</t>
  </si>
  <si>
    <t>72308291-484d-48e1-81d6-edb962462da5</t>
  </si>
  <si>
    <t>e6ab21e1-467f-405b-b133-c46bc99163e4</t>
  </si>
  <si>
    <t>1fab9743-7c09-4286-8afd-bdd8b0653118</t>
  </si>
  <si>
    <t>7370a358-ae1d-4710-9a70-f46335010f61</t>
  </si>
  <si>
    <t>f5075020-12df-47be-a96a-92f2af79c0f7</t>
  </si>
  <si>
    <t>9f46264c-4ca1-4585-a5ea-594d1b1114ed</t>
  </si>
  <si>
    <t>060032ec-9bf7-4d43-b858-3aa26c114d28</t>
  </si>
  <si>
    <t>b35f4a58-f4bc-4318-8102-ae800bf67d79:3</t>
  </si>
  <si>
    <t>f426be98-85c3-4aa7-95f8-4b960af381cc:3</t>
  </si>
  <si>
    <t>ed40b516-f568-4398-bb64-2ea087527591:3</t>
  </si>
  <si>
    <t>07008468-f18a-4ec4-9558-84344fc5a704:3</t>
  </si>
  <si>
    <t>d6593ed8-0c1b-4954-86a9-2b167bb354f1:3</t>
  </si>
  <si>
    <t>37f7e193-1dc0-433b-a817-f607b1bdbfeb:3</t>
  </si>
  <si>
    <t>67763782-b5cb-43ff-9343-8521aba0ab07:3</t>
  </si>
  <si>
    <t>92bdf71b-cc5f-4ffc-bd88-ae2b01bcd888:3</t>
  </si>
  <si>
    <t>a56e64ad-d53e-4c75-a94b-c259eaa5935b:3</t>
  </si>
  <si>
    <t>8e536614-3404-476e-9b15-cfd5485ffa3a:3</t>
  </si>
  <si>
    <t>b9bf4481-aaa4-4f03-8d75-ded07b7baa48:3</t>
  </si>
  <si>
    <t>56b02d99-fdbf-4419-89e8-87fc5556a0c0:3</t>
  </si>
  <si>
    <t>5e314718-e549-4a56-8d5f-ef26818a5d9c:3</t>
  </si>
  <si>
    <t>ff9987db-9d4c-4f5c-9bb0-da1685d5becb:3</t>
  </si>
  <si>
    <t>9cd96dd1-ce36-4923-8838-61a1bae04210:3</t>
  </si>
  <si>
    <t>ebc8627b-ad86-44aa-b553-cc87a0055507:3</t>
  </si>
  <si>
    <t>f30472ee-9cd5-492e-b120-73f186477e92:3</t>
  </si>
  <si>
    <t>cffcd54a-ae3d-4018-82c5-c29a0fff854b:3</t>
  </si>
  <si>
    <t>b12aa399-60b4-4df9-a1e3-2a6db2ef7baa:3</t>
  </si>
  <si>
    <t>50b6dd15-146e-42be-a97d-0b748104a891:3</t>
  </si>
  <si>
    <t>5fdf320e-164f-4992-8de7-9cba0c44ac6d:2</t>
  </si>
  <si>
    <t>ed0b69e4-76a3-4c82-b2bd-76b41a5804e9:2</t>
  </si>
  <si>
    <t>3c66e387-9e7a-44ad-b6e5-e38a1dd34e9b:2</t>
  </si>
  <si>
    <t>261bd030-fe8e-4fc3-9c08-262c22fd2471:2</t>
  </si>
  <si>
    <t>4a1a4401-c323-4e47-ba46-f883386a517a:2</t>
  </si>
  <si>
    <t>8f57f5e7-4a54-4032-bbd1-1982564a37e9:2</t>
  </si>
  <si>
    <t>96c79a33-a4d4-4d1b-9331-1c9e33307462:2</t>
  </si>
  <si>
    <t>a1ddaf6b-2780-411f-b822-eeeecb2b63e9:2</t>
  </si>
  <si>
    <t>148d3391-97fe-4a1d-88d7-1018c61e353d:2</t>
  </si>
  <si>
    <t>221cbdae-d00d-4da2-918f-163624fc2444:2</t>
  </si>
  <si>
    <t>650dda4a-5332-4237-9d48-537513866c8c:2</t>
  </si>
  <si>
    <t>485b7047-80d9-4d94-bfc4-9efbd91ff063:2</t>
  </si>
  <si>
    <t>9af0474c-3132-413f-a93e-05d6f7f90f52:2</t>
  </si>
  <si>
    <t>d78310fa-ad85-4cd7-b892-2c2702b56c2a:2</t>
  </si>
  <si>
    <t>67a1f0d5-1ed5-4e7c-b583-5af4e1d390a8:2</t>
  </si>
  <si>
    <t>4cc75099-5ae8-44ec-bfc4-6b32777de4f6:2</t>
  </si>
  <si>
    <t>e9f4d5f1-e277-4a1c-bb26-b2717885b41f:2</t>
  </si>
  <si>
    <t>6e4f4af5-3780-4b75-b4f7-f59fdb50ce54:2</t>
  </si>
  <si>
    <t>72308291-484d-48e1-81d6-edb962462da5:2</t>
  </si>
  <si>
    <t>e6ab21e1-467f-405b-b133-c46bc99163e4:2</t>
  </si>
  <si>
    <t>1fab9743-7c09-4286-8afd-bdd8b0653118:2</t>
  </si>
  <si>
    <t>7370a358-ae1d-4710-9a70-f46335010f61:2</t>
  </si>
  <si>
    <t>f5075020-12df-47be-a96a-92f2af79c0f7:2</t>
  </si>
  <si>
    <t>9f46264c-4ca1-4585-a5ea-594d1b1114ed:2</t>
  </si>
  <si>
    <t>060032ec-9bf7-4d43-b858-3aa26c114d28:2</t>
  </si>
  <si>
    <t>b35f4a58-f4bc-4318-8102-ae800bf67d79:4</t>
  </si>
  <si>
    <t>f426be98-85c3-4aa7-95f8-4b960af381cc:4</t>
  </si>
  <si>
    <t>ed40b516-f568-4398-bb64-2ea087527591:4</t>
  </si>
  <si>
    <t>07008468-f18a-4ec4-9558-84344fc5a704:4</t>
  </si>
  <si>
    <t>d6593ed8-0c1b-4954-86a9-2b167bb354f1:4</t>
  </si>
  <si>
    <t>37f7e193-1dc0-433b-a817-f607b1bdbfeb:4</t>
  </si>
  <si>
    <t>67763782-b5cb-43ff-9343-8521aba0ab07:4</t>
  </si>
  <si>
    <t>92bdf71b-cc5f-4ffc-bd88-ae2b01bcd888:4</t>
  </si>
  <si>
    <t>a56e64ad-d53e-4c75-a94b-c259eaa5935b:4</t>
  </si>
  <si>
    <t>8e536614-3404-476e-9b15-cfd5485ffa3a:4</t>
  </si>
  <si>
    <t>b9bf4481-aaa4-4f03-8d75-ded07b7baa48:4</t>
  </si>
  <si>
    <t>56b02d99-fdbf-4419-89e8-87fc5556a0c0:4</t>
  </si>
  <si>
    <t>5e314718-e549-4a56-8d5f-ef26818a5d9c:4</t>
  </si>
  <si>
    <t>ff9987db-9d4c-4f5c-9bb0-da1685d5becb:4</t>
  </si>
  <si>
    <t>9cd96dd1-ce36-4923-8838-61a1bae04210:4</t>
  </si>
  <si>
    <t>ebc8627b-ad86-44aa-b553-cc87a0055507:4</t>
  </si>
  <si>
    <t>f30472ee-9cd5-492e-b120-73f186477e92:4</t>
  </si>
  <si>
    <t>cffcd54a-ae3d-4018-82c5-c29a0fff854b:4</t>
  </si>
  <si>
    <t>b12aa399-60b4-4df9-a1e3-2a6db2ef7baa:4</t>
  </si>
  <si>
    <t>50b6dd15-146e-42be-a97d-0b748104a891:4</t>
  </si>
  <si>
    <t>5fdf320e-164f-4992-8de7-9cba0c44ac6d:3</t>
  </si>
  <si>
    <t>ed0b69e4-76a3-4c82-b2bd-76b41a5804e9:3</t>
  </si>
  <si>
    <t>3c66e387-9e7a-44ad-b6e5-e38a1dd34e9b:3</t>
  </si>
  <si>
    <t>261bd030-fe8e-4fc3-9c08-262c22fd2471:3</t>
  </si>
  <si>
    <t>4a1a4401-c323-4e47-ba46-f883386a517a:3</t>
  </si>
  <si>
    <t>8f57f5e7-4a54-4032-bbd1-1982564a37e9:3</t>
  </si>
  <si>
    <t>96c79a33-a4d4-4d1b-9331-1c9e33307462:3</t>
  </si>
  <si>
    <t>a1ddaf6b-2780-411f-b822-eeeecb2b63e9:3</t>
  </si>
  <si>
    <t>148d3391-97fe-4a1d-88d7-1018c61e353d:3</t>
  </si>
  <si>
    <t>221cbdae-d00d-4da2-918f-163624fc2444:3</t>
  </si>
  <si>
    <t>650dda4a-5332-4237-9d48-537513866c8c:3</t>
  </si>
  <si>
    <t>485b7047-80d9-4d94-bfc4-9efbd91ff063:3</t>
  </si>
  <si>
    <t>9af0474c-3132-413f-a93e-05d6f7f90f52:3</t>
  </si>
  <si>
    <t>d78310fa-ad85-4cd7-b892-2c2702b56c2a:3</t>
  </si>
  <si>
    <t>67a1f0d5-1ed5-4e7c-b583-5af4e1d390a8:3</t>
  </si>
  <si>
    <t>4cc75099-5ae8-44ec-bfc4-6b32777de4f6:3</t>
  </si>
  <si>
    <t>e9f4d5f1-e277-4a1c-bb26-b2717885b41f:3</t>
  </si>
  <si>
    <t>6e4f4af5-3780-4b75-b4f7-f59fdb50ce54:3</t>
  </si>
  <si>
    <t>72308291-484d-48e1-81d6-edb962462da5:3</t>
  </si>
  <si>
    <t>e6ab21e1-467f-405b-b133-c46bc99163e4:3</t>
  </si>
  <si>
    <t>1fab9743-7c09-4286-8afd-bdd8b0653118:3</t>
  </si>
  <si>
    <t>7370a358-ae1d-4710-9a70-f46335010f61:3</t>
  </si>
  <si>
    <t>f5075020-12df-47be-a96a-92f2af79c0f7:3</t>
  </si>
  <si>
    <t>9f46264c-4ca1-4585-a5ea-594d1b1114ed:3</t>
  </si>
  <si>
    <t>060032ec-9bf7-4d43-b858-3aa26c114d28:3</t>
  </si>
  <si>
    <t>Default freight emission factors for Light commercial vehicles</t>
  </si>
  <si>
    <t>d97615a4-6d90-4ae0-ba4e-87120de9e719</t>
  </si>
  <si>
    <t>b5a48204-f108-46ce-940a-e20f04c47ff0</t>
  </si>
  <si>
    <t>Petrol Hybrid</t>
  </si>
  <si>
    <t>0cbcea5d-fe21-45df-a6b7-1f10e2cbfcd0</t>
  </si>
  <si>
    <t>Diesel Hybrid</t>
  </si>
  <si>
    <t>b9de173e-13b3-4447-b5ea-38d3ccfe1609</t>
  </si>
  <si>
    <t>ROAD freight emission factors for Heavy goods vehicles</t>
  </si>
  <si>
    <t>HGV diesel</t>
  </si>
  <si>
    <t>&lt; 5,000 kg</t>
  </si>
  <si>
    <t>76d006f1-2b34-493a-ba28-b5d2b0c5c4be</t>
  </si>
  <si>
    <t>5,000 - 7,500 kg</t>
  </si>
  <si>
    <t>e4c2a8f6-9dee-4835-83e8-cda3765131a2</t>
  </si>
  <si>
    <t>7,500 - 10,000 kg</t>
  </si>
  <si>
    <t>b296ab02-2240-40bf-90d4-5caeadfeb553</t>
  </si>
  <si>
    <t>10,000 - 12,000 kg</t>
  </si>
  <si>
    <t>b54d662b-cc8a-4a1e-886f-ab5c8b1bb725</t>
  </si>
  <si>
    <t>12,000kg - 15,000 kg</t>
  </si>
  <si>
    <t>f839b9c4-5a7c-4ab1-9a32-b8efc2f8c3db</t>
  </si>
  <si>
    <t>15,000 - 20,000 kg</t>
  </si>
  <si>
    <t>d875f38f-2fa0-4df0-b3f7-9e5b5a139b7f</t>
  </si>
  <si>
    <t>20,000 - 25,000 kg</t>
  </si>
  <si>
    <t>f177bc19-9e47-4d14-bc99-af6f9ee72a08</t>
  </si>
  <si>
    <t>25,000 - 30,000 kg</t>
  </si>
  <si>
    <t>496cbade-16e2-4295-9b3d-7308f39bf68c</t>
  </si>
  <si>
    <t>≥ 30,000 kg</t>
  </si>
  <si>
    <t>ba82448b-cc09-4ada-8c66-69dc3613f128</t>
  </si>
  <si>
    <t>HGV diesel hybrid</t>
  </si>
  <si>
    <t>3ff399bd-f6c5-4ab8-abfb-59bb87dcb0c7</t>
  </si>
  <si>
    <t>c2c959e7-e9c5-4490-afba-76747e00167f</t>
  </si>
  <si>
    <t>4cdb99d4-36ec-495f-bfef-c99fdf6eb6da</t>
  </si>
  <si>
    <t>b504f945-7fa1-4763-8913-da02cd3fa900</t>
  </si>
  <si>
    <t>5784b66e-a93a-41c1-a75d-8af703cc1cd8</t>
  </si>
  <si>
    <t>a89c94e4-79c8-4d11-9675-7f4f141adf1c</t>
  </si>
  <si>
    <t>5a127d1e-49b2-446b-9950-53f3c7f13989</t>
  </si>
  <si>
    <t>debe9c87-fe58-4b37-842b-a17fd1ae8063</t>
  </si>
  <si>
    <t>abd3a309-203b-468a-908c-3cd584dcd0c9</t>
  </si>
  <si>
    <t>76d006f1-2b34-493a-ba28-b5d2b0c5c4be:2</t>
  </si>
  <si>
    <t>e4c2a8f6-9dee-4835-83e8-cda3765131a2:2</t>
  </si>
  <si>
    <t>b296ab02-2240-40bf-90d4-5caeadfeb553:2</t>
  </si>
  <si>
    <t>b54d662b-cc8a-4a1e-886f-ab5c8b1bb725:2</t>
  </si>
  <si>
    <t>f839b9c4-5a7c-4ab1-9a32-b8efc2f8c3db:2</t>
  </si>
  <si>
    <t>d875f38f-2fa0-4df0-b3f7-9e5b5a139b7f:2</t>
  </si>
  <si>
    <t>f177bc19-9e47-4d14-bc99-af6f9ee72a08:2</t>
  </si>
  <si>
    <t>496cbade-16e2-4295-9b3d-7308f39bf68c:2</t>
  </si>
  <si>
    <t>ba82448b-cc09-4ada-8c66-69dc3613f128:2</t>
  </si>
  <si>
    <t>3ff399bd-f6c5-4ab8-abfb-59bb87dcb0c7:2</t>
  </si>
  <si>
    <t>c2c959e7-e9c5-4490-afba-76747e00167f:2</t>
  </si>
  <si>
    <t>4cdb99d4-36ec-495f-bfef-c99fdf6eb6da:2</t>
  </si>
  <si>
    <t>b504f945-7fa1-4763-8913-da02cd3fa900:2</t>
  </si>
  <si>
    <t>5784b66e-a93a-41c1-a75d-8af703cc1cd8:2</t>
  </si>
  <si>
    <t>a89c94e4-79c8-4d11-9675-7f4f141adf1c:2</t>
  </si>
  <si>
    <t>5a127d1e-49b2-446b-9950-53f3c7f13989:2</t>
  </si>
  <si>
    <t>debe9c87-fe58-4b37-842b-a17fd1ae8063:2</t>
  </si>
  <si>
    <t>abd3a309-203b-468a-908c-3cd584dcd0c9:2</t>
  </si>
  <si>
    <t>HGV BEV</t>
  </si>
  <si>
    <t>a1ebef54-75f1-481d-89dc-9636370b2ffb</t>
  </si>
  <si>
    <t>327000b4-f9dd-4c23-be7e-4ca7e964b303</t>
  </si>
  <si>
    <t>bc6b63c0-a6f9-4595-aef2-ab52e89fe55b</t>
  </si>
  <si>
    <t>3dc92930-63b6-4cd8-8fae-8cdeff897f19</t>
  </si>
  <si>
    <t>966afaf1-7473-40e0-8839-a3c2aceb1cbd</t>
  </si>
  <si>
    <t>Post 2015 Fleet</t>
  </si>
  <si>
    <t>76d006f1-2b34-493a-ba28-b5d2b0c5c4be:3</t>
  </si>
  <si>
    <t>e4c2a8f6-9dee-4835-83e8-cda3765131a2:3</t>
  </si>
  <si>
    <t>b296ab02-2240-40bf-90d4-5caeadfeb553:3</t>
  </si>
  <si>
    <t>b54d662b-cc8a-4a1e-886f-ab5c8b1bb725:3</t>
  </si>
  <si>
    <t>f839b9c4-5a7c-4ab1-9a32-b8efc2f8c3db:3</t>
  </si>
  <si>
    <t>d875f38f-2fa0-4df0-b3f7-9e5b5a139b7f:3</t>
  </si>
  <si>
    <t>f177bc19-9e47-4d14-bc99-af6f9ee72a08:3</t>
  </si>
  <si>
    <t>496cbade-16e2-4295-9b3d-7308f39bf68c:3</t>
  </si>
  <si>
    <t>ba82448b-cc09-4ada-8c66-69dc3613f128:3</t>
  </si>
  <si>
    <t>3ff399bd-f6c5-4ab8-abfb-59bb87dcb0c7:3</t>
  </si>
  <si>
    <t>c2c959e7-e9c5-4490-afba-76747e00167f:3</t>
  </si>
  <si>
    <t>4cdb99d4-36ec-495f-bfef-c99fdf6eb6da:3</t>
  </si>
  <si>
    <t>b504f945-7fa1-4763-8913-da02cd3fa900:3</t>
  </si>
  <si>
    <t>5784b66e-a93a-41c1-a75d-8af703cc1cd8:3</t>
  </si>
  <si>
    <t>a89c94e4-79c8-4d11-9675-7f4f141adf1c:3</t>
  </si>
  <si>
    <t>5a127d1e-49b2-446b-9950-53f3c7f13989:3</t>
  </si>
  <si>
    <t>debe9c87-fe58-4b37-842b-a17fd1ae8063:3</t>
  </si>
  <si>
    <t>abd3a309-203b-468a-908c-3cd584dcd0c9:3</t>
  </si>
  <si>
    <t>a1ebef54-75f1-481d-89dc-9636370b2ffb:2</t>
  </si>
  <si>
    <t>327000b4-f9dd-4c23-be7e-4ca7e964b303:2</t>
  </si>
  <si>
    <t>bc6b63c0-a6f9-4595-aef2-ab52e89fe55b:2</t>
  </si>
  <si>
    <t>3dc92930-63b6-4cd8-8fae-8cdeff897f19:2</t>
  </si>
  <si>
    <t>966afaf1-7473-40e0-8839-a3c2aceb1cbd:2</t>
  </si>
  <si>
    <t>Default freight emission factors for Heavy commercial vehicles</t>
  </si>
  <si>
    <t>Default ( pre2010 and &lt;7500kg gross vehicle mass)</t>
  </si>
  <si>
    <t>HGV Diesel</t>
  </si>
  <si>
    <t>82a0f698-ac67-4988-bf5d-87275ff65125</t>
  </si>
  <si>
    <t>HGV Diesel Hybrid</t>
  </si>
  <si>
    <t>0faa09ef-5190-47bf-a570-b87ce5fbf152</t>
  </si>
  <si>
    <t>AIR TRAVEL Freight emission factors</t>
  </si>
  <si>
    <t>With radiative forcing multiplier</t>
  </si>
  <si>
    <t>Freight flights</t>
  </si>
  <si>
    <t>Domestic</t>
  </si>
  <si>
    <t>70fce637-0595-41a8-b4b2-8aad05e489d8</t>
  </si>
  <si>
    <t>Short haul</t>
  </si>
  <si>
    <t>f204c84b-4f78-47b0-b878-9ea08562c3cb</t>
  </si>
  <si>
    <t>Long haul</t>
  </si>
  <si>
    <t>ee43d1b5-7720-4c17-b4bb-fc8b42cfff8d</t>
  </si>
  <si>
    <t>Without radiative forcing multiplier</t>
  </si>
  <si>
    <t>70fce637-0595-41a8-b4b2-8aad05e489d8:2</t>
  </si>
  <si>
    <t>f204c84b-4f78-47b0-b878-9ea08562c3cb:2</t>
  </si>
  <si>
    <t>ee43d1b5-7720-4c17-b4bb-fc8b42cfff8d:2</t>
  </si>
  <si>
    <t>SEA TRAVEL Freight emission factors</t>
  </si>
  <si>
    <t>Domestic coastal freight</t>
  </si>
  <si>
    <t>Oil products</t>
  </si>
  <si>
    <t>Heavy fuel oil is the shipping fuel used</t>
  </si>
  <si>
    <t>ceede66c-d034-4798-96c6-ccf5c000d512</t>
  </si>
  <si>
    <t>Other bulk</t>
  </si>
  <si>
    <t>ad046945-9ffc-4e0e-a815-161ac3c91791</t>
  </si>
  <si>
    <t>Container freight</t>
  </si>
  <si>
    <t>7bdb28fe-785b-4514-a265-3d1a435a42c5</t>
  </si>
  <si>
    <t>International sea travel - adopted from the UK</t>
  </si>
  <si>
    <t>Bulk carrier</t>
  </si>
  <si>
    <t>200,000+ dwt</t>
  </si>
  <si>
    <t>International shipping factors from the UK DESNZ 2023 are applicable for New Zealand and are provided here</t>
  </si>
  <si>
    <t>d9e4867c-4e99-4d33-beb9-a19e9b29272c</t>
  </si>
  <si>
    <t>100,000–199,999 dwt</t>
  </si>
  <si>
    <t>f61ae305-2bd7-4f52-b9c1-60054d80668d</t>
  </si>
  <si>
    <t>60,000–99,999 dwt</t>
  </si>
  <si>
    <t>9a39c568-8f29-4b33-9faa-a4171e26de59</t>
  </si>
  <si>
    <t>35,000–59,999 dwt</t>
  </si>
  <si>
    <t>4f26c7f5-b254-4fbe-a4f5-8050c3b337a4</t>
  </si>
  <si>
    <t>10,000–34,999 dwt</t>
  </si>
  <si>
    <t>665a83f4-8998-4e28-8900-9b0df5d998b4</t>
  </si>
  <si>
    <t>0–9999 dwt</t>
  </si>
  <si>
    <t>68e3583c-4cc9-406b-a76f-b2c3b48d4807</t>
  </si>
  <si>
    <t>Average</t>
  </si>
  <si>
    <t>96549ba1-70b6-454b-aabf-0ee8e6b48b3f</t>
  </si>
  <si>
    <t>General cargo</t>
  </si>
  <si>
    <t>10,000+ dwt</t>
  </si>
  <si>
    <t>437ca8ef-b773-4269-8c7e-90b50d8a1190</t>
  </si>
  <si>
    <t>5000–9999 dwt</t>
  </si>
  <si>
    <t>21dbbc1d-3b62-4eb3-87ab-74ec7b990159</t>
  </si>
  <si>
    <t>0–4999 dwt</t>
  </si>
  <si>
    <t>d347e7f7-c426-48cc-aca7-7f3c7612b209</t>
  </si>
  <si>
    <t>10,000+ dwt 100+ TEU</t>
  </si>
  <si>
    <t>06bdcd03-f9b8-49d9-bcfa-8d143a69a923</t>
  </si>
  <si>
    <t>5000–9999 dwt 100+ TEU</t>
  </si>
  <si>
    <t>d547cdd3-7ead-4943-9d06-b0a10a1edf60</t>
  </si>
  <si>
    <t>0–4999 dwt 100+ TEU</t>
  </si>
  <si>
    <t>2a944a1e-f2da-43e1-b19a-ecb47f931b67</t>
  </si>
  <si>
    <t>e78aced8-b870-4c15-852e-1c2475394629</t>
  </si>
  <si>
    <t>Container ship</t>
  </si>
  <si>
    <t>8000+ TEU</t>
  </si>
  <si>
    <t>ab731b53-749e-4c0b-86aa-f6c4802c57be</t>
  </si>
  <si>
    <t>5000–7999 TEU</t>
  </si>
  <si>
    <t>bea83157-12ee-400a-a16a-339e7152558e</t>
  </si>
  <si>
    <t>3000–4999 TEU</t>
  </si>
  <si>
    <t>75f239d2-d826-4c72-b2ea-2b398a5a77fa</t>
  </si>
  <si>
    <t>2000–2999 TEU</t>
  </si>
  <si>
    <t>1a729570-fc74-4a94-b69d-2d6aca42ed06</t>
  </si>
  <si>
    <t>1000–1999 TEU</t>
  </si>
  <si>
    <t>55f4b108-9ff4-49d9-9c21-9ae3bffee7b0</t>
  </si>
  <si>
    <t>0–999 TEU</t>
  </si>
  <si>
    <t>ee5a3099-ae47-4213-ad8c-99c99769a7ac</t>
  </si>
  <si>
    <t>98148ad0-e998-4b35-9ab3-72a794623544</t>
  </si>
  <si>
    <t>Vehicle transport</t>
  </si>
  <si>
    <t>4000+ CEU</t>
  </si>
  <si>
    <t>5fd6d3e4-db2f-41b8-be7a-0bf240eeb10d</t>
  </si>
  <si>
    <t>0–3999 CEU</t>
  </si>
  <si>
    <t>20b6898b-a59e-4f70-9979-493a68fb80b2</t>
  </si>
  <si>
    <t>6511800b-0bea-4508-9ff8-6c73d628ab4d</t>
  </si>
  <si>
    <t>RoRo-Ferry</t>
  </si>
  <si>
    <t>2000+ LM</t>
  </si>
  <si>
    <t>1d33d5e4-8bf1-427d-b210-7eaaa6e15ee4</t>
  </si>
  <si>
    <t>0–1999 LM</t>
  </si>
  <si>
    <t>1d82ca28-fe7d-40d9-952a-30d89b1104ee</t>
  </si>
  <si>
    <t>40cde2a8-9306-4d79-a895-dd16b5f15785</t>
  </si>
  <si>
    <t>Large RoPax ferry</t>
  </si>
  <si>
    <t>90d403ee-9ee8-42bb-be07-e5325c7deef4</t>
  </si>
  <si>
    <t>Refrigerated cargo</t>
  </si>
  <si>
    <t>All dwt</t>
  </si>
  <si>
    <t>cc1203c0-031c-4944-afd8-bf0a916b7304</t>
  </si>
  <si>
    <t>RAIL  freight emission factors</t>
  </si>
  <si>
    <t>Rail Freight</t>
  </si>
  <si>
    <t>Used energy and freight volumes provided by KiwiRail for 2023</t>
  </si>
  <si>
    <t>3ba6dc47-28ab-4e37-934e-057d0691910e</t>
  </si>
  <si>
    <t>Wastewater treatment and water supply emission factors</t>
  </si>
  <si>
    <t>Total Calculated Emissions for Wastewater treatment</t>
  </si>
  <si>
    <t>Wastewater treatment emission factors</t>
  </si>
  <si>
    <t>Domestic wastewater</t>
  </si>
  <si>
    <t>Average for wastewater treatment plants</t>
  </si>
  <si>
    <t>m³ of water supplied</t>
  </si>
  <si>
    <t>Calculated using New Zealand data and IPCC defaults</t>
  </si>
  <si>
    <t>CH4 ± 40%, N2O ± 90%</t>
  </si>
  <si>
    <t>e984a7f9-0d14-434f-a390-7b84fd5ab7d8</t>
  </si>
  <si>
    <t>per capita</t>
  </si>
  <si>
    <t>51727d55-2061-4b6d-a361-2c271d0824fb</t>
  </si>
  <si>
    <t>Septic tanks</t>
  </si>
  <si>
    <t>df9ec6e8-725c-4381-a59e-3e6e140c357b</t>
  </si>
  <si>
    <t>Industrial Wastewater</t>
  </si>
  <si>
    <t>Meat (excl poultry)</t>
  </si>
  <si>
    <t>tonne of kills</t>
  </si>
  <si>
    <t>498f4bca-4014-43ec-9930-309085b8d3bb</t>
  </si>
  <si>
    <t>Poultry</t>
  </si>
  <si>
    <t>d10a5754-bf95-43a2-8a53-fa92790eed6f</t>
  </si>
  <si>
    <t>Pulp &amp; paper</t>
  </si>
  <si>
    <t>tonne of product</t>
  </si>
  <si>
    <t>ff911f14-e0bf-442b-a8a8-15673799516a</t>
  </si>
  <si>
    <t>Wine</t>
  </si>
  <si>
    <t>tonne of crushed grapes</t>
  </si>
  <si>
    <t>d6141c07-2c07-474f-bac7-a4a6fbffcb41</t>
  </si>
  <si>
    <t>Dairy processing</t>
  </si>
  <si>
    <t>m³ of milk</t>
  </si>
  <si>
    <t>475a9ed1-b3e2-4f61-8f2a-ccdf36543ca9</t>
  </si>
  <si>
    <t>Water supply emission factors</t>
  </si>
  <si>
    <t>m³</t>
  </si>
  <si>
    <t>Based on energy related emissions</t>
  </si>
  <si>
    <t>91efaf93-eefe-4b09-b063-7073092f58e8</t>
  </si>
  <si>
    <t>Population based on averages served by Water NZ dataset</t>
  </si>
  <si>
    <t>b5231554-3590-46b5-9d50-90253585fb07</t>
  </si>
  <si>
    <t>Solid waste emission factors</t>
  </si>
  <si>
    <r>
      <t>These factors cover emissions from waste-to-landfill and the biological treatment of waste.
A landfill gas recovery system collects methane gas from the landfill and destroys it by flaring or combustion.
All emissions are expressed as kg of carbon dioxide equivalent (kg CO</t>
    </r>
    <r>
      <rPr>
        <vertAlign val="subscript"/>
        <sz val="11"/>
        <color rgb="FF000000"/>
        <rFont val="Calibri"/>
        <family val="2"/>
      </rPr>
      <t>2</t>
    </r>
    <r>
      <rPr>
        <sz val="11"/>
        <color rgb="FF000000"/>
        <rFont val="Calibri"/>
        <family val="2"/>
      </rPr>
      <t xml:space="preserve">-e) per unit.
</t>
    </r>
  </si>
  <si>
    <t>Total Calculated Emissions for Waste</t>
  </si>
  <si>
    <t>Waste to landfill with gas recovery emission factors</t>
  </si>
  <si>
    <t>Waste (known composition)</t>
  </si>
  <si>
    <t>Waste - Food</t>
  </si>
  <si>
    <r>
      <t>N</t>
    </r>
    <r>
      <rPr>
        <vertAlign val="subscript"/>
        <sz val="11"/>
        <color rgb="FF000000"/>
        <rFont val="Calibri"/>
        <family val="2"/>
      </rPr>
      <t>2</t>
    </r>
    <r>
      <rPr>
        <sz val="11"/>
        <color rgb="FF000000"/>
        <rFont val="Calibri"/>
        <family val="2"/>
      </rPr>
      <t>O and CO</t>
    </r>
    <r>
      <rPr>
        <vertAlign val="subscript"/>
        <sz val="11"/>
        <color rgb="FF000000"/>
        <rFont val="Calibri"/>
        <family val="2"/>
      </rPr>
      <t>2</t>
    </r>
    <r>
      <rPr>
        <sz val="11"/>
        <color rgb="FF000000"/>
        <rFont val="Calibri"/>
        <family val="2"/>
      </rPr>
      <t xml:space="preserve"> are excluded</t>
    </r>
  </si>
  <si>
    <t>±40%</t>
  </si>
  <si>
    <t>b87e8d1d-59bd-4047-ac62-f0ef0e1da73b</t>
  </si>
  <si>
    <t>Waste - Garden</t>
  </si>
  <si>
    <t>4466a8b7-67ab-43b6-a556-4db5735e8cc8</t>
  </si>
  <si>
    <t>Waste - Paper</t>
  </si>
  <si>
    <t>b2f80b52-068f-4382-b023-cd79c2df2377</t>
  </si>
  <si>
    <t>Waste - Wood (combined)</t>
  </si>
  <si>
    <t>9d8f2026-5249-488d-b511-bd07fe79b782</t>
  </si>
  <si>
    <t>Wood (treated)</t>
  </si>
  <si>
    <t>38035423-e43f-4bfb-81cf-c5310071132b</t>
  </si>
  <si>
    <t>Wood (untreated)</t>
  </si>
  <si>
    <t>16948456-24ce-4432-9e64-ad7182d8c82e</t>
  </si>
  <si>
    <t>Waste - Textile</t>
  </si>
  <si>
    <t>7b0e6b5b-b2f8-41a0-90d1-4f6a17e804a3</t>
  </si>
  <si>
    <t>Waste - Nappies</t>
  </si>
  <si>
    <t>aeae3732-29cf-4842-944a-a9af7aa3055b</t>
  </si>
  <si>
    <t>Waste - Sludge</t>
  </si>
  <si>
    <t>4d1bb244-a3c6-4ee8-b114-95de4becd578</t>
  </si>
  <si>
    <t>Waste - Other (Inert)</t>
  </si>
  <si>
    <t>5b0e43dc-a3a0-4f62-8178-03d16f9880f2</t>
  </si>
  <si>
    <t>Waste (unknown composition)</t>
  </si>
  <si>
    <t>General waste</t>
  </si>
  <si>
    <t>Not quantified</t>
  </si>
  <si>
    <t>706e4554-56cb-473d-911c-0e9be7efddd2</t>
  </si>
  <si>
    <t>Office waste</t>
  </si>
  <si>
    <t>e000ac49-94a3-4fb9-aa90-98ba8d264548</t>
  </si>
  <si>
    <t>Waste to landfill without gas recovery emission factors</t>
  </si>
  <si>
    <t>15e88cba-ad4c-4dff-b5ca-d120a4adfa3a</t>
  </si>
  <si>
    <t>c56807d2-2c82-4bce-aff1-f52ec1ae6736</t>
  </si>
  <si>
    <t>527314a9-2b71-4b3d-b9d2-bec5b17e3e2c</t>
  </si>
  <si>
    <t>ea2619df-1559-438b-9dca-80b933047e8e</t>
  </si>
  <si>
    <t>060399bf-d254-4091-81bf-b1313d0ea891</t>
  </si>
  <si>
    <t>271c57af-cd12-4a9e-bc6a-32bc7834a5ee</t>
  </si>
  <si>
    <t>3496bcb1-64c0-4bd8-b85f-1a2fb0a35abd</t>
  </si>
  <si>
    <t>40cdaa4e-f7b3-4da0-a1fd-31643a1d13e0</t>
  </si>
  <si>
    <t>aef7f8c8-9575-4e31-aa71-da3f46c14c28</t>
  </si>
  <si>
    <t>e271c6a1-51da-4b7a-86f4-1a4fc998903d</t>
  </si>
  <si>
    <t>df96011f-702d-451a-97bb-53e78ed02f9f</t>
  </si>
  <si>
    <t>88a6b14e-50d3-4d27-a107-da7bdbca7cb5</t>
  </si>
  <si>
    <t>Biological Treatment of waste</t>
  </si>
  <si>
    <t>Biological treatment of waste</t>
  </si>
  <si>
    <t>Composting</t>
  </si>
  <si>
    <t>IPCC default emission factors used</t>
  </si>
  <si>
    <t>±100%</t>
  </si>
  <si>
    <t>380a5656-6bc7-40e6-9469-3b5812f45fe5</t>
  </si>
  <si>
    <t>Anaerobic digestion</t>
  </si>
  <si>
    <t>Kg</t>
  </si>
  <si>
    <t>IPCC uncertainties</t>
  </si>
  <si>
    <t>bdaa44d1-ef48-461c-a4eb-954af657944d</t>
  </si>
  <si>
    <t>Non municipal waste</t>
  </si>
  <si>
    <t>Biological (sludge)</t>
  </si>
  <si>
    <t>a8b0c8ee-801d-45d5-976a-d5dc7da96984</t>
  </si>
  <si>
    <t>Construction &amp; Demolition</t>
  </si>
  <si>
    <t>7f9b6d59-7b10-4b2a-b614-10bafc2050c0</t>
  </si>
  <si>
    <t>Bulk Waste</t>
  </si>
  <si>
    <t>999e521e-43b1-410a-9755-577999be8ac7</t>
  </si>
  <si>
    <t>Food</t>
  </si>
  <si>
    <t>109d57d5-e4a8-4c39-be5c-6a89b1d14d6b</t>
  </si>
  <si>
    <t>Garden</t>
  </si>
  <si>
    <t>0e68a11a-b79b-467c-9a85-5f1b189ab102</t>
  </si>
  <si>
    <t>Industrial</t>
  </si>
  <si>
    <t>6dffe6ad-f857-45fe-8d48-f952b41676eb</t>
  </si>
  <si>
    <t>Wood</t>
  </si>
  <si>
    <t>207ead9b-b81d-4683-a80f-2d7081897dea</t>
  </si>
  <si>
    <t>Inert (all other waste)</t>
  </si>
  <si>
    <t>76d8043a-a765-4167-a33d-b3195700ff86</t>
  </si>
  <si>
    <t>Average for non-municipal solid waste</t>
  </si>
  <si>
    <t>46ef2b15-17dd-48e7-aee0-8d49a92e6370</t>
  </si>
  <si>
    <t>Agriculture, Forestry and other land uses emission factors</t>
  </si>
  <si>
    <r>
      <t>Enteric fermentation is the process by which ruminant animals produce methane through digesting feed.
Manure management refers to the process of managing the excretion of livestock, particularly when they are not on paddocks, but also covers losses from manure that is deposited by livestock directly onto pasture.
Agricultural soils emit nitrous oxide due to the addition of nitrogen to soils through manure, dung and urine.
All emissions are expressed as kg of carbon dioxide equivalent (kg CO</t>
    </r>
    <r>
      <rPr>
        <vertAlign val="subscript"/>
        <sz val="11"/>
        <color rgb="FF000000"/>
        <rFont val="Calibri"/>
        <family val="2"/>
      </rPr>
      <t>2</t>
    </r>
    <r>
      <rPr>
        <sz val="11"/>
        <color rgb="FF000000"/>
        <rFont val="Calibri"/>
        <family val="2"/>
      </rPr>
      <t xml:space="preserve">-e) per unit.
</t>
    </r>
  </si>
  <si>
    <t>Total Calculated Emissions for agriculture</t>
  </si>
  <si>
    <t>Total Calculated Emissions for harvest/deforestation</t>
  </si>
  <si>
    <t>Total Calculated Removals</t>
  </si>
  <si>
    <t>LULUCF growth emission factors</t>
  </si>
  <si>
    <t>Forest growth removal source</t>
  </si>
  <si>
    <t>Planted forests: Approach one - Stock change accounting</t>
  </si>
  <si>
    <t>All Planted forests</t>
  </si>
  <si>
    <t>ha</t>
  </si>
  <si>
    <t>See Detailed Guide</t>
  </si>
  <si>
    <t>±13.3%</t>
  </si>
  <si>
    <t>d268908a-d948-4a81-b723-8879915f8001</t>
  </si>
  <si>
    <t>Pinus radiata</t>
  </si>
  <si>
    <t>±13.2%</t>
  </si>
  <si>
    <t>345688d4-258c-42c0-b8e3-2d7b466ce1f9</t>
  </si>
  <si>
    <t>Other softwoods</t>
  </si>
  <si>
    <t>±23.6%</t>
  </si>
  <si>
    <t>3c37f14b-fa7e-4069-810a-04678b656712</t>
  </si>
  <si>
    <t>All hardwoods</t>
  </si>
  <si>
    <t>±149.7%</t>
  </si>
  <si>
    <t>3f0b4394-ef27-46a6-9f79-6a3fa0bc7e4f</t>
  </si>
  <si>
    <t>Planted forests: Approach two - Averaging accounting</t>
  </si>
  <si>
    <t>All planted forests – First rotation (age 23 years and under)</t>
  </si>
  <si>
    <t>b563f2e9-5c43-4a7d-85e3-52f77a2b92ed</t>
  </si>
  <si>
    <t>Pinus radiata – First rotation (Age 22 years and under)</t>
  </si>
  <si>
    <t>af9d53fd-d466-49d1-a9c5-7ba2d6f4cf2d</t>
  </si>
  <si>
    <t>Other Softwoods – First rotation (age 28 years and under)</t>
  </si>
  <si>
    <t>353bebe3-9d1d-4718-8805-0ef223996c5b</t>
  </si>
  <si>
    <t>All hardwoods – First rotation (Age 13 years and under)</t>
  </si>
  <si>
    <t>3db4296f-1e16-4471-b451-17ec4a5c1fd5</t>
  </si>
  <si>
    <t>All planted forest above the long-term average age</t>
  </si>
  <si>
    <t>n/a</t>
  </si>
  <si>
    <t>7b3282a5-ea6a-44e8-a371-77095ce0b165</t>
  </si>
  <si>
    <t>Natural forests</t>
  </si>
  <si>
    <t>Post-1989 Regenerating natural forest</t>
  </si>
  <si>
    <t>±44.8</t>
  </si>
  <si>
    <t>8e2b811b-33f3-4168-a334-aa34b630dab5</t>
  </si>
  <si>
    <t>Pre-1990 Regenerating natural forest</t>
  </si>
  <si>
    <t>±119.6</t>
  </si>
  <si>
    <t>c5d2a909-1885-40a6-96c9-474b4a64bb24</t>
  </si>
  <si>
    <t>Pre-1990 Tall natural forest</t>
  </si>
  <si>
    <t>2aa4e3bf-f85d-41bc-9fba-179c9ad57102</t>
  </si>
  <si>
    <t>LULUCF land-use change emission factors</t>
  </si>
  <si>
    <t>Land-use change emission source</t>
  </si>
  <si>
    <t>Harvest or Deforestation</t>
  </si>
  <si>
    <t>±21.8%</t>
  </si>
  <si>
    <t>3701f857-e21a-4e81-931b-23275c9fab69</t>
  </si>
  <si>
    <t>ed3d991d-7ad2-49ff-abf3-adc2b7fb2726</t>
  </si>
  <si>
    <t>Other Softwoods</t>
  </si>
  <si>
    <t>±29.3%</t>
  </si>
  <si>
    <t>9f1bf514-fd7f-42f0-8118-e5bf52990f10</t>
  </si>
  <si>
    <t>±150.7%</t>
  </si>
  <si>
    <t>f1ee9e2f-d551-48e3-a86f-b3f1023cce6a</t>
  </si>
  <si>
    <t>Harvest</t>
  </si>
  <si>
    <t>d05eb24c-7e46-4581-afdb-902e8fc82182</t>
  </si>
  <si>
    <t>Deforestation</t>
  </si>
  <si>
    <t>ce6eb83b-8c0d-4803-9141-5a246b867723</t>
  </si>
  <si>
    <t>246fe2c6-44db-483e-80ec-804ced926311</t>
  </si>
  <si>
    <t>3d2f97b1-4026-4bc8-8e4a-af2bb0d0ebb2</t>
  </si>
  <si>
    <t>1dcab602-132b-4799-8a19-f761ef1fbe48</t>
  </si>
  <si>
    <t>4831e41d-2491-4247-b5bb-69a13fde9af2</t>
  </si>
  <si>
    <t>d32be707-14b6-43dc-b84e-1cc38375db6f</t>
  </si>
  <si>
    <t>580ee618-1200-4dc1-bb1b-a67dfd9e6597</t>
  </si>
  <si>
    <t>±27.0</t>
  </si>
  <si>
    <t>21ac487d-a52b-492a-9436-d910cb60b565</t>
  </si>
  <si>
    <t>±27.2</t>
  </si>
  <si>
    <t>af1d6491-fb6f-41b0-be94-a3271e26cd56</t>
  </si>
  <si>
    <t>±21.0</t>
  </si>
  <si>
    <t>54bdb3da-e3e1-4609-bbbf-ceab79e18fcc</t>
  </si>
  <si>
    <t>Primary Industry emission factors</t>
  </si>
  <si>
    <t>Emission source category</t>
  </si>
  <si>
    <t>Enteric Fermentation</t>
  </si>
  <si>
    <t>Dairy cattle</t>
  </si>
  <si>
    <t>per head</t>
  </si>
  <si>
    <t>NZ GHG Inventory 1990-2022</t>
  </si>
  <si>
    <t>± 15.5%</t>
  </si>
  <si>
    <t>7f299690-1de9-4020-9cb0-b48729625289</t>
  </si>
  <si>
    <t>Non-dairy cattle</t>
  </si>
  <si>
    <t>as above</t>
  </si>
  <si>
    <t>728f2ac2-65f5-417e-800e-b82757d52ebb</t>
  </si>
  <si>
    <t>Sheep</t>
  </si>
  <si>
    <t>9f66cf69-56b7-417d-942a-bb6b0b0369f4</t>
  </si>
  <si>
    <t>Deer</t>
  </si>
  <si>
    <t>673d68e1-14ed-4b2d-aaae-5bdcd34b0704</t>
  </si>
  <si>
    <t>Swine</t>
  </si>
  <si>
    <t>7f17b34e-4e9b-4edd-a6db-d9a2104b1e15</t>
  </si>
  <si>
    <t>Goats</t>
  </si>
  <si>
    <t>c243cdf7-1222-4c65-ad8d-096bdf7286ec</t>
  </si>
  <si>
    <t>Horses</t>
  </si>
  <si>
    <t>25b009f1-50ab-4bf0-9010-2f93b55be9ba</t>
  </si>
  <si>
    <t>Alpaca and llama</t>
  </si>
  <si>
    <t>5dc945ac-b2d9-4a3f-8461-b6adb1af2b80</t>
  </si>
  <si>
    <t>Mules and asses</t>
  </si>
  <si>
    <t>7df5a8f6-34d5-4550-b45b-6381e1c662dd</t>
  </si>
  <si>
    <t>4a299c28-2ede-4575-bf78-af941629ed09</t>
  </si>
  <si>
    <t>Manure management</t>
  </si>
  <si>
    <t>CH4 ± 20% / N2O ± 100%</t>
  </si>
  <si>
    <t>09b400e8-0dc6-4bc7-88af-c09574d54f6d</t>
  </si>
  <si>
    <t>CH4 ± 20%</t>
  </si>
  <si>
    <t>6c552145-ac0c-4013-998c-d9d513612c05</t>
  </si>
  <si>
    <t>b90fb9ef-af86-4c6d-8d0d-5eca97862323</t>
  </si>
  <si>
    <t>d7fa7ac4-8dcf-424b-96fa-943df27fb9b2</t>
  </si>
  <si>
    <t>8e586bac-a77e-45e2-89b9-088c623e9099</t>
  </si>
  <si>
    <t>ff7e6b8e-4115-44fd-82ae-71711327325f</t>
  </si>
  <si>
    <t>4df1f09d-fcb7-4754-bebf-c1ebc1f77fdf</t>
  </si>
  <si>
    <t>7f1ae5a8-baa3-4616-bbe1-600058c840cc</t>
  </si>
  <si>
    <t>2095a3c4-de57-4fca-83f3-ef481e6825fa</t>
  </si>
  <si>
    <t>25b87cae-0c8b-47d2-8684-7357b27ecc01</t>
  </si>
  <si>
    <t>Fertiliser Use</t>
  </si>
  <si>
    <t>Nitrogen content of non-urea nitrogen fertiliser</t>
  </si>
  <si>
    <t>kg N</t>
  </si>
  <si>
    <t>This is the uncertainty of N2O emissions from agricultural soils</t>
  </si>
  <si>
    <t>±  54</t>
  </si>
  <si>
    <t>7ab266b9-89fc-4929-9f79-16a021eb40e3</t>
  </si>
  <si>
    <t>Nitrogen content of urea nitrogen fertiliser not coated with urease inhibitor</t>
  </si>
  <si>
    <t>The CO2 component is the urea emission factor uncertainty and N2O emissions is the uncertainty from agricultural soils.</t>
  </si>
  <si>
    <t>CO2 -50% to 0% / N2O ± 54%</t>
  </si>
  <si>
    <t>4ea1fb59-6fdd-48dc-be81-a808c96f8f7c</t>
  </si>
  <si>
    <t>Nitrogen content of urea nitrogen fertiliser coated with urease inhibitor</t>
  </si>
  <si>
    <t>90611d25-01d4-4036-b627-028ebd891782</t>
  </si>
  <si>
    <t>Limestone</t>
  </si>
  <si>
    <t>CO2 -50% to 0%</t>
  </si>
  <si>
    <t>8df188a4-cbc7-4373-9f61-f4ad602dd03d</t>
  </si>
  <si>
    <t>Dolomite</t>
  </si>
  <si>
    <t>Uncertainties are equivalent to limestone.</t>
  </si>
  <si>
    <t>87b251e3-aa26-458d-b9f5-30bc61192df3</t>
  </si>
  <si>
    <t>Agricultural soils (live stock)</t>
  </si>
  <si>
    <t>± 54.1%</t>
  </si>
  <si>
    <t>2438b477-3491-40c5-b581-349e3a2cb4be</t>
  </si>
  <si>
    <t>4a9ec6fe-f787-4e41-bade-fe8d24d1af27</t>
  </si>
  <si>
    <t>42e3cf55-c3e3-4827-96e7-84ad526fa46a</t>
  </si>
  <si>
    <t>0a677c49-6d0b-481a-93b8-58797b4a03bf</t>
  </si>
  <si>
    <t>241384f6-0e24-4968-b11a-93e0f7934f81</t>
  </si>
  <si>
    <t>41cdca25-6079-4c62-95f3-9c872bcb0577</t>
  </si>
  <si>
    <t>b7de05d4-2e5a-4f5d-9af0-52b2a645b8d8</t>
  </si>
  <si>
    <t>e7dc0686-e244-4ad6-b3fb-e8707e77310f</t>
  </si>
  <si>
    <t>2b9828bc-f703-4505-8210-78a359871c65</t>
  </si>
  <si>
    <t>db3db7ce-9f24-4a18-a492-ecd761e04c2c</t>
  </si>
  <si>
    <t xml:space="preserve">Ministry for the Environment Measuring Emissions Guidance </t>
  </si>
  <si>
    <t>Unit Conversion Factors</t>
  </si>
  <si>
    <t>These conversion factors can be used to change between units.</t>
  </si>
  <si>
    <t>Prefix</t>
  </si>
  <si>
    <t>Abbreviation</t>
  </si>
  <si>
    <t>Symbol</t>
  </si>
  <si>
    <t>Number</t>
  </si>
  <si>
    <t>Standard form</t>
  </si>
  <si>
    <t>Kilo</t>
  </si>
  <si>
    <t>k</t>
  </si>
  <si>
    <t>Mega</t>
  </si>
  <si>
    <t>M</t>
  </si>
  <si>
    <t>Giga</t>
  </si>
  <si>
    <t>G</t>
  </si>
  <si>
    <t>Tera</t>
  </si>
  <si>
    <t>T</t>
  </si>
  <si>
    <t>Peta</t>
  </si>
  <si>
    <t>P</t>
  </si>
  <si>
    <t>Energy</t>
  </si>
  <si>
    <t>therm</t>
  </si>
  <si>
    <t>toe</t>
  </si>
  <si>
    <t>kcal</t>
  </si>
  <si>
    <t>Gigajoule, GJ</t>
  </si>
  <si>
    <t>kilowatt hour, kWh</t>
  </si>
  <si>
    <t>Therm</t>
  </si>
  <si>
    <t>Tonne oil eq., toe</t>
  </si>
  <si>
    <t>Kilocalorie, kcal</t>
  </si>
  <si>
    <t>Volume</t>
  </si>
  <si>
    <t>L</t>
  </si>
  <si>
    <r>
      <t>m</t>
    </r>
    <r>
      <rPr>
        <b/>
        <vertAlign val="superscript"/>
        <sz val="11"/>
        <color indexed="56"/>
        <rFont val="Calibri"/>
        <family val="2"/>
      </rPr>
      <t>3</t>
    </r>
  </si>
  <si>
    <t>cu ft</t>
  </si>
  <si>
    <t>Imp. gallon</t>
  </si>
  <si>
    <t>US gallon</t>
  </si>
  <si>
    <t>Bbl (US,P)</t>
  </si>
  <si>
    <t>Litres, L</t>
  </si>
  <si>
    <r>
      <t>Cubic metres, m</t>
    </r>
    <r>
      <rPr>
        <b/>
        <vertAlign val="superscript"/>
        <sz val="11"/>
        <color indexed="56"/>
        <rFont val="Calibri"/>
        <family val="2"/>
      </rPr>
      <t>3</t>
    </r>
  </si>
  <si>
    <t>Cubic feet, cu ft</t>
  </si>
  <si>
    <t>Imperial gallon</t>
  </si>
  <si>
    <t>Barrel (US, petroleum), bbl</t>
  </si>
  <si>
    <t>Weight / mass</t>
  </si>
  <si>
    <t>tonne</t>
  </si>
  <si>
    <t>ton (UK)</t>
  </si>
  <si>
    <t>ton (US)</t>
  </si>
  <si>
    <t>lb</t>
  </si>
  <si>
    <t>Kilogram, kg</t>
  </si>
  <si>
    <t>tonne, t (metric ton)</t>
  </si>
  <si>
    <t>ton (UK, long ton)</t>
  </si>
  <si>
    <t>ton (US, short ton)</t>
  </si>
  <si>
    <t>Pound, lb</t>
  </si>
  <si>
    <t>Length / distance</t>
  </si>
  <si>
    <t>m</t>
  </si>
  <si>
    <t>ft</t>
  </si>
  <si>
    <t>mi</t>
  </si>
  <si>
    <t>nmi</t>
  </si>
  <si>
    <t>Metre, m</t>
  </si>
  <si>
    <t>Feet, ft</t>
  </si>
  <si>
    <t>Miles, mi</t>
  </si>
  <si>
    <t>Kilometres, km</t>
  </si>
  <si>
    <t>Nautical miles, nmi or NM</t>
  </si>
  <si>
    <t>in</t>
  </si>
  <si>
    <t>cm</t>
  </si>
  <si>
    <t>yd</t>
  </si>
  <si>
    <t>Inch, in</t>
  </si>
  <si>
    <t>Centimetres, cm</t>
  </si>
  <si>
    <t>Yard, yd</t>
  </si>
  <si>
    <t>The interactive workbook file was updated on 29/7/24 with technical fixes to ensure the summary sheet captures all emissions data in other tabs.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</si>
</sst>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_-;\-* #,##0_-;_-* &quot;-&quot;??_-;_-@_-"/>
    <numFmt numFmtId="165" formatCode="0E+00"/>
    <numFmt numFmtId="166" formatCode="0.0000"/>
    <numFmt numFmtId="167" formatCode="#,##0.00000"/>
    <numFmt numFmtId="168" formatCode="0.00000"/>
    <numFmt numFmtId="169" formatCode="#,##0.000"/>
    <numFmt numFmtId="170" formatCode="#,##0.0000000"/>
    <numFmt numFmtId="171" formatCode="#,##0.000000000"/>
    <numFmt numFmtId="172" formatCode="0.000"/>
    <numFmt numFmtId="173" formatCode="0.0000000"/>
    <numFmt numFmtId="174" formatCode="0.000000"/>
    <numFmt numFmtId="175" formatCode="0.00000000"/>
    <numFmt numFmtId="176" formatCode="0.0"/>
  </numFmts>
  <fonts count="28" x14ac:knownFonts="1">
    <font>
      <sz val="11"/>
      <color rgb="FF000000"/>
      <name val="Calibri"/>
      <family val="2"/>
      <scheme val="minor"/>
    </font>
    <font>
      <sz val="11"/>
      <color rgb="FF000000"/>
      <name val="Calibri"/>
      <family val="2"/>
    </font>
    <font>
      <b/>
      <sz val="20"/>
      <color rgb="FF1C556C"/>
      <name val="Calibri"/>
      <family val="2"/>
    </font>
    <font>
      <sz val="20"/>
      <color rgb="FF000000"/>
      <name val="Calibri"/>
      <family val="2"/>
    </font>
    <font>
      <b/>
      <sz val="24"/>
      <color rgb="FF1C556C"/>
      <name val="Calibri"/>
      <family val="2"/>
    </font>
    <font>
      <sz val="11"/>
      <color rgb="FFFFFFFF"/>
      <name val="Calibri"/>
      <family val="2"/>
    </font>
    <font>
      <b/>
      <sz val="18"/>
      <color rgb="FF1C556C"/>
      <name val="Calibri"/>
      <family val="2"/>
    </font>
    <font>
      <b/>
      <sz val="11"/>
      <color rgb="FFFFFFFF"/>
      <name val="Calibri"/>
      <family val="2"/>
    </font>
    <font>
      <b/>
      <sz val="11"/>
      <color rgb="FFFF0000"/>
      <name val="Calibri"/>
      <family val="2"/>
    </font>
    <font>
      <b/>
      <sz val="11"/>
      <color rgb="FF000000"/>
      <name val="Calibri"/>
      <family val="2"/>
    </font>
    <font>
      <sz val="11"/>
      <color rgb="FFFF0000"/>
      <name val="Calibri"/>
      <family val="2"/>
    </font>
    <font>
      <b/>
      <sz val="18"/>
      <color theme="4"/>
      <name val="Calibri"/>
      <family val="2"/>
      <scheme val="minor"/>
    </font>
    <font>
      <b/>
      <sz val="11"/>
      <color theme="1"/>
      <name val="Calibri"/>
      <family val="2"/>
      <scheme val="minor"/>
    </font>
    <font>
      <sz val="11"/>
      <color rgb="FF053D5F"/>
      <name val="Calibri"/>
      <family val="2"/>
      <scheme val="minor"/>
    </font>
    <font>
      <b/>
      <sz val="11"/>
      <color theme="0"/>
      <name val="Calibri"/>
      <family val="2"/>
      <scheme val="minor"/>
    </font>
    <font>
      <sz val="11"/>
      <color rgb="FF000000"/>
      <name val="Calibri"/>
      <family val="2"/>
      <scheme val="minor"/>
    </font>
    <font>
      <sz val="18"/>
      <color rgb="FF000000"/>
      <name val="Calibri"/>
      <family val="2"/>
      <scheme val="minor"/>
    </font>
    <font>
      <sz val="11"/>
      <color rgb="FF3F3F76"/>
      <name val="Calibri"/>
      <family val="2"/>
    </font>
    <font>
      <b/>
      <i/>
      <sz val="11"/>
      <color rgb="FFFFFFFF"/>
      <name val="Calibri"/>
      <family val="2"/>
    </font>
    <font>
      <i/>
      <sz val="11"/>
      <color rgb="FF000000"/>
      <name val="Calibri"/>
      <family val="2"/>
    </font>
    <font>
      <vertAlign val="subscript"/>
      <sz val="11"/>
      <color rgb="FF000000"/>
      <name val="Calibri"/>
      <family val="2"/>
    </font>
    <font>
      <vertAlign val="subscript"/>
      <sz val="11"/>
      <color rgb="FF000000"/>
      <name val="Calibri"/>
      <family val="2"/>
      <scheme val="minor"/>
    </font>
    <font>
      <b/>
      <i/>
      <sz val="11"/>
      <color rgb="FF000000"/>
      <name val="Calibri"/>
      <family val="2"/>
    </font>
    <font>
      <b/>
      <vertAlign val="subscript"/>
      <sz val="11"/>
      <color rgb="FF000000"/>
      <name val="Calibri"/>
      <family val="2"/>
    </font>
    <font>
      <b/>
      <vertAlign val="subscript"/>
      <sz val="11"/>
      <color rgb="FFFFFFFF"/>
      <name val="Calibri"/>
      <family val="2"/>
    </font>
    <font>
      <b/>
      <vertAlign val="superscript"/>
      <sz val="11"/>
      <color indexed="56"/>
      <name val="Calibri"/>
      <family val="2"/>
    </font>
    <font>
      <sz val="11"/>
      <color theme="1"/>
      <name val="Calibri"/>
      <family val="2"/>
    </font>
    <font>
      <b/>
      <sz val="10"/>
      <color rgb="FFFF0000"/>
      <name val="Calibri"/>
      <family val="2"/>
    </font>
  </fonts>
  <fills count="22">
    <fill>
      <patternFill patternType="none"/>
    </fill>
    <fill>
      <patternFill patternType="gray125"/>
    </fill>
    <fill>
      <patternFill patternType="solid">
        <fgColor rgb="FFFFFF00"/>
        <bgColor rgb="FF000000"/>
      </patternFill>
    </fill>
    <fill>
      <patternFill patternType="solid">
        <fgColor rgb="FFD2DDE2"/>
        <bgColor rgb="FF000000"/>
      </patternFill>
    </fill>
    <fill>
      <patternFill patternType="solid">
        <fgColor rgb="FF1C556C"/>
        <bgColor rgb="FF000000"/>
      </patternFill>
    </fill>
    <fill>
      <patternFill patternType="solid">
        <fgColor rgb="FFFFFFFF"/>
        <bgColor rgb="FF000000"/>
      </patternFill>
    </fill>
    <fill>
      <patternFill patternType="solid">
        <fgColor rgb="FF8EAAB7"/>
        <bgColor rgb="FF000000"/>
      </patternFill>
    </fill>
    <fill>
      <patternFill patternType="solid">
        <fgColor theme="0"/>
        <bgColor indexed="64"/>
      </patternFill>
    </fill>
    <fill>
      <patternFill patternType="solid">
        <fgColor rgb="FF1C556C"/>
        <bgColor indexed="64"/>
      </patternFill>
    </fill>
    <fill>
      <patternFill patternType="solid">
        <fgColor theme="0" tint="-0.14999847407452621"/>
        <bgColor indexed="64"/>
      </patternFill>
    </fill>
    <fill>
      <patternFill patternType="solid">
        <fgColor rgb="FFFFFFFF"/>
      </patternFill>
    </fill>
    <fill>
      <patternFill patternType="solid">
        <fgColor rgb="FF1C556C"/>
      </patternFill>
    </fill>
    <fill>
      <patternFill patternType="solid">
        <fgColor rgb="FFEEEEEE"/>
      </patternFill>
    </fill>
    <fill>
      <patternFill patternType="solid">
        <fgColor rgb="FF8EAAB7"/>
      </patternFill>
    </fill>
    <fill>
      <patternFill patternType="solid">
        <fgColor rgb="FFFFFF00"/>
      </patternFill>
    </fill>
    <fill>
      <patternFill patternType="solid">
        <fgColor rgb="FFD9D9D9"/>
      </patternFill>
    </fill>
    <fill>
      <patternFill patternType="solid">
        <fgColor rgb="FFE9E9E9"/>
      </patternFill>
    </fill>
    <fill>
      <patternFill patternType="solid">
        <fgColor rgb="FFB7C8D0"/>
      </patternFill>
    </fill>
    <fill>
      <patternFill patternType="solid">
        <fgColor rgb="FFD2DDE2"/>
      </patternFill>
    </fill>
    <fill>
      <patternFill patternType="solid">
        <fgColor rgb="FFFFFF00"/>
        <bgColor indexed="64"/>
      </patternFill>
    </fill>
    <fill>
      <patternFill patternType="solid">
        <fgColor rgb="FFD0DADF"/>
        <bgColor indexed="64"/>
      </patternFill>
    </fill>
    <fill>
      <patternFill patternType="solid">
        <fgColor rgb="FFB6C7CF"/>
        <bgColor indexed="64"/>
      </patternFill>
    </fill>
  </fills>
  <borders count="20">
    <border>
      <left/>
      <right/>
      <top/>
      <bottom/>
      <diagonal/>
    </border>
    <border>
      <left style="medium">
        <color rgb="FF1C556C"/>
      </left>
      <right/>
      <top style="medium">
        <color rgb="FF1C556C"/>
      </top>
      <bottom style="medium">
        <color rgb="FF1C556C"/>
      </bottom>
      <diagonal/>
    </border>
    <border>
      <left/>
      <right/>
      <top/>
      <bottom style="thin">
        <color rgb="FF1C556C"/>
      </bottom>
      <diagonal/>
    </border>
    <border>
      <left style="thin">
        <color rgb="FF1C556C"/>
      </left>
      <right style="thin">
        <color rgb="FF1C556C"/>
      </right>
      <top/>
      <bottom style="thin">
        <color rgb="FF1C556C"/>
      </bottom>
      <diagonal/>
    </border>
    <border>
      <left style="thin">
        <color rgb="FF000000"/>
      </left>
      <right style="thin">
        <color rgb="FF000000"/>
      </right>
      <top style="thin">
        <color rgb="FF000000"/>
      </top>
      <bottom style="thin">
        <color rgb="FF000000"/>
      </bottom>
      <diagonal/>
    </border>
    <border>
      <left/>
      <right style="thin">
        <color rgb="FF1C556C"/>
      </right>
      <top/>
      <bottom/>
      <diagonal/>
    </border>
    <border>
      <left/>
      <right style="thin">
        <color rgb="FF1C556C"/>
      </right>
      <top/>
      <bottom style="thin">
        <color rgb="FF1C556C"/>
      </bottom>
      <diagonal/>
    </border>
    <border>
      <left/>
      <right style="thin">
        <color rgb="FF1C556C"/>
      </right>
      <top style="thin">
        <color rgb="FF1C556C"/>
      </top>
      <bottom style="thin">
        <color rgb="FF1C556C"/>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top style="thin">
        <color rgb="FF000000"/>
      </top>
      <bottom style="thin">
        <color rgb="FF000000"/>
      </bottom>
      <diagonal/>
    </border>
  </borders>
  <cellStyleXfs count="1">
    <xf numFmtId="0" fontId="0" fillId="0" borderId="0"/>
  </cellStyleXfs>
  <cellXfs count="107">
    <xf numFmtId="0" fontId="0" fillId="0" borderId="0" xfId="0"/>
    <xf numFmtId="0" fontId="1" fillId="0" borderId="0" xfId="0" applyFont="1" applyAlignment="1">
      <alignment wrapText="1"/>
    </xf>
    <xf numFmtId="0" fontId="2" fillId="0" borderId="0" xfId="0" applyFont="1"/>
    <xf numFmtId="0" fontId="3" fillId="0" borderId="0" xfId="0" applyFont="1"/>
    <xf numFmtId="0" fontId="4" fillId="0" borderId="0" xfId="0" applyFont="1"/>
    <xf numFmtId="0" fontId="5" fillId="2" borderId="1" xfId="0" applyFont="1" applyFill="1" applyBorder="1"/>
    <xf numFmtId="0" fontId="1" fillId="0" borderId="0" xfId="0" applyFont="1"/>
    <xf numFmtId="0" fontId="6" fillId="0" borderId="0" xfId="0" applyFont="1"/>
    <xf numFmtId="0" fontId="1" fillId="3" borderId="2" xfId="0" applyFont="1" applyFill="1" applyBorder="1"/>
    <xf numFmtId="0" fontId="7" fillId="4" borderId="3" xfId="0" applyFont="1" applyFill="1" applyBorder="1"/>
    <xf numFmtId="0" fontId="1" fillId="0" borderId="6" xfId="0" applyFont="1" applyBorder="1"/>
    <xf numFmtId="0" fontId="1" fillId="0" borderId="5" xfId="0" applyFont="1" applyBorder="1"/>
    <xf numFmtId="0" fontId="1" fillId="0" borderId="7" xfId="0" applyFont="1" applyBorder="1"/>
    <xf numFmtId="0" fontId="8" fillId="0" borderId="0" xfId="0" applyFont="1"/>
    <xf numFmtId="0" fontId="9" fillId="0" borderId="0" xfId="0" applyFont="1"/>
    <xf numFmtId="0" fontId="7" fillId="4" borderId="8" xfId="0" applyFont="1" applyFill="1" applyBorder="1"/>
    <xf numFmtId="0" fontId="7" fillId="4" borderId="9" xfId="0" applyFont="1" applyFill="1" applyBorder="1"/>
    <xf numFmtId="0" fontId="7" fillId="0" borderId="0" xfId="0" applyFont="1"/>
    <xf numFmtId="0" fontId="10" fillId="0" borderId="0" xfId="0" applyFont="1"/>
    <xf numFmtId="0" fontId="9" fillId="0" borderId="10" xfId="0" applyFont="1" applyBorder="1" applyAlignment="1">
      <alignment horizontal="right"/>
    </xf>
    <xf numFmtId="0" fontId="9" fillId="5" borderId="11" xfId="0" applyFont="1" applyFill="1" applyBorder="1" applyAlignment="1">
      <alignment horizontal="right"/>
    </xf>
    <xf numFmtId="0" fontId="9" fillId="0" borderId="11" xfId="0" applyFont="1" applyBorder="1" applyAlignment="1">
      <alignment horizontal="right"/>
    </xf>
    <xf numFmtId="2" fontId="5" fillId="4" borderId="12" xfId="0" applyNumberFormat="1" applyFont="1" applyFill="1" applyBorder="1"/>
    <xf numFmtId="0" fontId="7" fillId="4" borderId="8" xfId="0" applyFont="1" applyFill="1" applyBorder="1" applyAlignment="1">
      <alignment horizontal="left" vertical="center"/>
    </xf>
    <xf numFmtId="0" fontId="7" fillId="4" borderId="0" xfId="0" applyFont="1" applyFill="1" applyAlignment="1">
      <alignment horizontal="left" vertical="top"/>
    </xf>
    <xf numFmtId="0" fontId="11" fillId="0" borderId="0" xfId="0" applyFont="1" applyAlignment="1">
      <alignment horizontal="center"/>
    </xf>
    <xf numFmtId="0" fontId="12" fillId="0" borderId="0" xfId="0" applyFont="1"/>
    <xf numFmtId="0" fontId="13" fillId="7" borderId="0" xfId="0" applyFont="1" applyFill="1"/>
    <xf numFmtId="0" fontId="14" fillId="8" borderId="8" xfId="0" applyFont="1" applyFill="1" applyBorder="1" applyAlignment="1">
      <alignment wrapText="1"/>
    </xf>
    <xf numFmtId="0" fontId="14" fillId="8" borderId="8" xfId="0" applyFont="1" applyFill="1" applyBorder="1"/>
    <xf numFmtId="0" fontId="12" fillId="9" borderId="8" xfId="0" applyFont="1" applyFill="1" applyBorder="1" applyAlignment="1">
      <alignment horizontal="center" vertical="top" wrapText="1"/>
    </xf>
    <xf numFmtId="0" fontId="12" fillId="9" borderId="8" xfId="0" applyFont="1" applyFill="1" applyBorder="1" applyAlignment="1">
      <alignment horizontal="right" vertical="top" wrapText="1"/>
    </xf>
    <xf numFmtId="0" fontId="12" fillId="9" borderId="8" xfId="0" applyFont="1" applyFill="1" applyBorder="1" applyAlignment="1">
      <alignment horizontal="right" vertical="center" wrapText="1"/>
    </xf>
    <xf numFmtId="166" fontId="15" fillId="0" borderId="8" xfId="0" applyNumberFormat="1" applyFont="1" applyBorder="1" applyAlignment="1">
      <alignment vertical="center"/>
    </xf>
    <xf numFmtId="4" fontId="15" fillId="7" borderId="8" xfId="0" applyNumberFormat="1" applyFont="1" applyFill="1" applyBorder="1" applyAlignment="1">
      <alignment horizontal="center"/>
    </xf>
    <xf numFmtId="167" fontId="15" fillId="7" borderId="8" xfId="0" applyNumberFormat="1" applyFont="1" applyFill="1" applyBorder="1" applyAlignment="1">
      <alignment horizontal="center"/>
    </xf>
    <xf numFmtId="3" fontId="15" fillId="7" borderId="8" xfId="0" applyNumberFormat="1" applyFont="1" applyFill="1" applyBorder="1" applyAlignment="1">
      <alignment horizontal="center"/>
    </xf>
    <xf numFmtId="1" fontId="15" fillId="7" borderId="8" xfId="0" applyNumberFormat="1" applyFont="1" applyFill="1" applyBorder="1" applyAlignment="1">
      <alignment horizontal="center"/>
    </xf>
    <xf numFmtId="168" fontId="15" fillId="7" borderId="8" xfId="0" applyNumberFormat="1" applyFont="1" applyFill="1" applyBorder="1" applyAlignment="1">
      <alignment horizontal="center"/>
    </xf>
    <xf numFmtId="169" fontId="15" fillId="7" borderId="8" xfId="0" applyNumberFormat="1" applyFont="1" applyFill="1" applyBorder="1" applyAlignment="1">
      <alignment horizontal="center"/>
    </xf>
    <xf numFmtId="2" fontId="15" fillId="7" borderId="8" xfId="0" applyNumberFormat="1" applyFont="1" applyFill="1" applyBorder="1" applyAlignment="1">
      <alignment horizontal="center"/>
    </xf>
    <xf numFmtId="170" fontId="15" fillId="7" borderId="8" xfId="0" applyNumberFormat="1" applyFont="1" applyFill="1" applyBorder="1" applyAlignment="1">
      <alignment horizontal="center"/>
    </xf>
    <xf numFmtId="171" fontId="15" fillId="7" borderId="8" xfId="0" applyNumberFormat="1" applyFont="1" applyFill="1" applyBorder="1" applyAlignment="1">
      <alignment horizontal="center"/>
    </xf>
    <xf numFmtId="172" fontId="15" fillId="7" borderId="8" xfId="0" applyNumberFormat="1" applyFont="1" applyFill="1" applyBorder="1" applyAlignment="1">
      <alignment horizontal="center"/>
    </xf>
    <xf numFmtId="173" fontId="15" fillId="7" borderId="8" xfId="0" applyNumberFormat="1" applyFont="1" applyFill="1" applyBorder="1" applyAlignment="1">
      <alignment horizontal="center"/>
    </xf>
    <xf numFmtId="166" fontId="15" fillId="7" borderId="8" xfId="0" applyNumberFormat="1" applyFont="1" applyFill="1" applyBorder="1" applyAlignment="1">
      <alignment horizontal="center"/>
    </xf>
    <xf numFmtId="174" fontId="15" fillId="7" borderId="8" xfId="0" applyNumberFormat="1" applyFont="1" applyFill="1" applyBorder="1" applyAlignment="1">
      <alignment horizontal="center"/>
    </xf>
    <xf numFmtId="175" fontId="15" fillId="7" borderId="8" xfId="0" applyNumberFormat="1" applyFont="1" applyFill="1" applyBorder="1" applyAlignment="1">
      <alignment horizontal="center"/>
    </xf>
    <xf numFmtId="0" fontId="15" fillId="7" borderId="8" xfId="0" applyFont="1" applyFill="1" applyBorder="1" applyAlignment="1">
      <alignment horizontal="center"/>
    </xf>
    <xf numFmtId="176" fontId="15" fillId="7" borderId="8" xfId="0" applyNumberFormat="1" applyFont="1" applyFill="1" applyBorder="1" applyAlignment="1">
      <alignment horizontal="center"/>
    </xf>
    <xf numFmtId="0" fontId="17" fillId="14" borderId="4" xfId="0" applyFont="1" applyFill="1" applyBorder="1" applyAlignment="1">
      <alignment horizontal="right" vertical="top"/>
    </xf>
    <xf numFmtId="0" fontId="4" fillId="10" borderId="0" xfId="0" applyFont="1" applyFill="1" applyAlignment="1">
      <alignment vertical="top"/>
    </xf>
    <xf numFmtId="0" fontId="1" fillId="10" borderId="4" xfId="0" applyFont="1" applyFill="1" applyBorder="1" applyAlignment="1">
      <alignment horizontal="left" vertical="top"/>
    </xf>
    <xf numFmtId="0" fontId="17" fillId="19" borderId="4" xfId="0" applyFont="1" applyFill="1" applyBorder="1" applyAlignment="1">
      <alignment horizontal="right" vertical="top"/>
    </xf>
    <xf numFmtId="0" fontId="0" fillId="7" borderId="0" xfId="0" applyFill="1"/>
    <xf numFmtId="0" fontId="9" fillId="16" borderId="4" xfId="0" applyFont="1" applyFill="1" applyBorder="1" applyAlignment="1">
      <alignment horizontal="right" vertical="top"/>
    </xf>
    <xf numFmtId="4" fontId="1" fillId="17" borderId="4" xfId="0" applyNumberFormat="1" applyFont="1" applyFill="1" applyBorder="1" applyAlignment="1">
      <alignment horizontal="right" vertical="top"/>
    </xf>
    <xf numFmtId="4" fontId="1" fillId="18" borderId="4" xfId="0" applyNumberFormat="1" applyFont="1" applyFill="1" applyBorder="1" applyAlignment="1">
      <alignment horizontal="right" vertical="top"/>
    </xf>
    <xf numFmtId="0" fontId="9" fillId="13" borderId="4" xfId="0" applyFont="1" applyFill="1" applyBorder="1" applyAlignment="1">
      <alignment horizontal="right" vertical="top"/>
    </xf>
    <xf numFmtId="0" fontId="9" fillId="13" borderId="4" xfId="0" applyFont="1" applyFill="1" applyBorder="1" applyAlignment="1">
      <alignment horizontal="left" vertical="top"/>
    </xf>
    <xf numFmtId="0" fontId="9" fillId="14" borderId="4" xfId="0" applyFont="1" applyFill="1" applyBorder="1" applyAlignment="1">
      <alignment horizontal="center" vertical="top"/>
    </xf>
    <xf numFmtId="0" fontId="9" fillId="10" borderId="0" xfId="0" applyFont="1" applyFill="1" applyAlignment="1">
      <alignment horizontal="left" vertical="top"/>
    </xf>
    <xf numFmtId="0" fontId="9" fillId="15" borderId="4" xfId="0" applyFont="1" applyFill="1" applyBorder="1" applyAlignment="1">
      <alignment horizontal="left" vertical="top"/>
    </xf>
    <xf numFmtId="0" fontId="9" fillId="16" borderId="4" xfId="0" applyFont="1" applyFill="1" applyBorder="1" applyAlignment="1">
      <alignment horizontal="left" vertical="top"/>
    </xf>
    <xf numFmtId="0" fontId="1" fillId="10" borderId="0" xfId="0" applyFont="1" applyFill="1" applyAlignment="1">
      <alignment horizontal="left" vertical="top"/>
    </xf>
    <xf numFmtId="4" fontId="7" fillId="13" borderId="4" xfId="0" applyNumberFormat="1" applyFont="1" applyFill="1" applyBorder="1" applyAlignment="1">
      <alignment horizontal="right" vertical="top"/>
    </xf>
    <xf numFmtId="0" fontId="7" fillId="11" borderId="4" xfId="0" applyFont="1" applyFill="1" applyBorder="1" applyAlignment="1">
      <alignment vertical="top"/>
    </xf>
    <xf numFmtId="0" fontId="9" fillId="13" borderId="4" xfId="0" applyFont="1" applyFill="1" applyBorder="1" applyAlignment="1">
      <alignment vertical="top"/>
    </xf>
    <xf numFmtId="0" fontId="9" fillId="15" borderId="4" xfId="0" applyFont="1" applyFill="1" applyBorder="1" applyAlignment="1">
      <alignment vertical="top"/>
    </xf>
    <xf numFmtId="0" fontId="9" fillId="16" borderId="4" xfId="0" applyFont="1" applyFill="1" applyBorder="1" applyAlignment="1">
      <alignment vertical="top"/>
    </xf>
    <xf numFmtId="0" fontId="1" fillId="0" borderId="8" xfId="0" applyFont="1" applyBorder="1" applyAlignment="1">
      <alignment horizontal="center" vertical="top" wrapText="1"/>
    </xf>
    <xf numFmtId="164" fontId="1" fillId="0" borderId="8" xfId="0" applyNumberFormat="1" applyFont="1" applyBorder="1" applyAlignment="1">
      <alignment horizontal="left" vertical="top"/>
    </xf>
    <xf numFmtId="165" fontId="1" fillId="0" borderId="8" xfId="0" applyNumberFormat="1" applyFont="1" applyBorder="1" applyAlignment="1">
      <alignment horizontal="center" vertical="top"/>
    </xf>
    <xf numFmtId="164" fontId="1" fillId="0" borderId="8" xfId="0" applyNumberFormat="1" applyFont="1" applyBorder="1" applyAlignment="1">
      <alignment horizontal="left" vertical="top" wrapText="1"/>
    </xf>
    <xf numFmtId="4" fontId="1" fillId="20" borderId="4" xfId="0" applyNumberFormat="1" applyFont="1" applyFill="1" applyBorder="1" applyAlignment="1">
      <alignment horizontal="right" vertical="top"/>
    </xf>
    <xf numFmtId="4" fontId="1" fillId="21" borderId="4" xfId="0" applyNumberFormat="1" applyFont="1" applyFill="1" applyBorder="1" applyAlignment="1">
      <alignment horizontal="right" vertical="top"/>
    </xf>
    <xf numFmtId="4" fontId="26" fillId="17" borderId="4" xfId="0" applyNumberFormat="1" applyFont="1" applyFill="1" applyBorder="1" applyAlignment="1">
      <alignment horizontal="right" vertical="top"/>
    </xf>
    <xf numFmtId="0" fontId="17" fillId="7" borderId="13" xfId="0" applyFont="1" applyFill="1" applyBorder="1" applyAlignment="1">
      <alignment horizontal="right" vertical="top"/>
    </xf>
    <xf numFmtId="4" fontId="1" fillId="7" borderId="19" xfId="0" applyNumberFormat="1" applyFont="1" applyFill="1" applyBorder="1" applyAlignment="1">
      <alignment horizontal="right" vertical="top"/>
    </xf>
    <xf numFmtId="0" fontId="27" fillId="0" borderId="0" xfId="0" applyFont="1" applyAlignment="1">
      <alignment vertical="center"/>
    </xf>
    <xf numFmtId="0" fontId="7" fillId="4" borderId="0" xfId="0" applyFont="1" applyFill="1"/>
    <xf numFmtId="0" fontId="1" fillId="0" borderId="4" xfId="0" applyFont="1" applyBorder="1" applyAlignment="1">
      <alignment horizontal="left" vertical="top" wrapText="1"/>
    </xf>
    <xf numFmtId="0" fontId="1" fillId="0" borderId="0" xfId="0" applyFont="1" applyAlignment="1">
      <alignment horizontal="left" vertical="top" wrapText="1"/>
    </xf>
    <xf numFmtId="0" fontId="7" fillId="4" borderId="5" xfId="0" applyFont="1" applyFill="1" applyBorder="1"/>
    <xf numFmtId="0" fontId="1" fillId="0" borderId="4" xfId="0" applyFont="1" applyBorder="1"/>
    <xf numFmtId="0" fontId="9" fillId="15" borderId="13" xfId="0" applyFont="1" applyFill="1" applyBorder="1" applyAlignment="1">
      <alignment horizontal="right" vertical="center"/>
    </xf>
    <xf numFmtId="0" fontId="9" fillId="13" borderId="14" xfId="0" applyFont="1" applyFill="1" applyBorder="1" applyAlignment="1">
      <alignment horizontal="right" vertical="center"/>
    </xf>
    <xf numFmtId="0" fontId="9" fillId="13" borderId="15" xfId="0" applyFont="1" applyFill="1" applyBorder="1" applyAlignment="1">
      <alignment horizontal="right" vertical="center"/>
    </xf>
    <xf numFmtId="0" fontId="9" fillId="6" borderId="16" xfId="0" applyFont="1" applyFill="1" applyBorder="1" applyAlignment="1">
      <alignment horizontal="right" vertical="center"/>
    </xf>
    <xf numFmtId="0" fontId="9" fillId="6" borderId="17" xfId="0" applyFont="1" applyFill="1" applyBorder="1" applyAlignment="1">
      <alignment horizontal="right" vertical="center"/>
    </xf>
    <xf numFmtId="0" fontId="8" fillId="0" borderId="0" xfId="0" applyFont="1"/>
    <xf numFmtId="0" fontId="7" fillId="4" borderId="18" xfId="0" applyFont="1" applyFill="1" applyBorder="1"/>
    <xf numFmtId="0" fontId="7" fillId="11" borderId="4" xfId="0" applyFont="1" applyFill="1" applyBorder="1" applyAlignment="1">
      <alignment horizontal="left" vertical="top"/>
    </xf>
    <xf numFmtId="0" fontId="9" fillId="13" borderId="4" xfId="0" applyFont="1" applyFill="1" applyBorder="1" applyAlignment="1">
      <alignment horizontal="left" vertical="top"/>
    </xf>
    <xf numFmtId="0" fontId="9" fillId="16" borderId="4" xfId="0" applyFont="1" applyFill="1" applyBorder="1" applyAlignment="1">
      <alignment horizontal="left" vertical="top"/>
    </xf>
    <xf numFmtId="0" fontId="9" fillId="15" borderId="4" xfId="0" applyFont="1" applyFill="1" applyBorder="1" applyAlignment="1">
      <alignment horizontal="left" vertical="top"/>
    </xf>
    <xf numFmtId="0" fontId="7" fillId="11" borderId="0" xfId="0" applyFont="1" applyFill="1" applyAlignment="1">
      <alignment horizontal="right" vertical="top"/>
    </xf>
    <xf numFmtId="0" fontId="0" fillId="0" borderId="0" xfId="0"/>
    <xf numFmtId="0" fontId="4" fillId="10" borderId="0" xfId="0" applyFont="1" applyFill="1" applyAlignment="1">
      <alignment horizontal="left" vertical="top"/>
    </xf>
    <xf numFmtId="0" fontId="6" fillId="10" borderId="0" xfId="0" applyFont="1" applyFill="1" applyAlignment="1">
      <alignment horizontal="left" vertical="top"/>
    </xf>
    <xf numFmtId="0" fontId="7" fillId="11" borderId="0" xfId="0" applyFont="1" applyFill="1" applyAlignment="1">
      <alignment horizontal="left" vertical="top"/>
    </xf>
    <xf numFmtId="0" fontId="1" fillId="12" borderId="0" xfId="0" applyFont="1" applyFill="1" applyAlignment="1">
      <alignment horizontal="left" vertical="top" wrapText="1"/>
    </xf>
    <xf numFmtId="4" fontId="1" fillId="10" borderId="4" xfId="0" applyNumberFormat="1" applyFont="1" applyFill="1" applyBorder="1" applyAlignment="1">
      <alignment horizontal="left" vertical="top"/>
    </xf>
    <xf numFmtId="0" fontId="1" fillId="10" borderId="4" xfId="0" applyFont="1" applyFill="1" applyBorder="1" applyAlignment="1">
      <alignment horizontal="left" vertical="top"/>
    </xf>
    <xf numFmtId="0" fontId="7" fillId="11" borderId="0" xfId="0" applyFont="1" applyFill="1" applyAlignment="1">
      <alignment horizontal="center" vertical="center"/>
    </xf>
    <xf numFmtId="0" fontId="16" fillId="0" borderId="0" xfId="0" applyFont="1"/>
    <xf numFmtId="0" fontId="1" fillId="7" borderId="8" xfId="0" applyFont="1"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B6C7CF"/>
      <color rgb="FFD0DA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xdr:row>
      <xdr:rowOff>523875</xdr:rowOff>
    </xdr:from>
    <xdr:to>
      <xdr:col>5</xdr:col>
      <xdr:colOff>476250</xdr:colOff>
      <xdr:row>17</xdr:row>
      <xdr:rowOff>3629025</xdr:rowOff>
    </xdr:to>
    <xdr:pic>
      <xdr:nvPicPr>
        <xdr:cNvPr id="2" name="Picture 1">
          <a:extLst>
            <a:ext uri="{FF2B5EF4-FFF2-40B4-BE49-F238E27FC236}">
              <a16:creationId xmlns:a16="http://schemas.microsoft.com/office/drawing/2014/main" id="{73B59B3E-4FEE-04A6-4C7E-9A5348D49B9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393" t="6916" r="6393"/>
        <a:stretch/>
      </xdr:blipFill>
      <xdr:spPr>
        <a:xfrm>
          <a:off x="0" y="4991100"/>
          <a:ext cx="5172075" cy="3105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9"/>
  <sheetViews>
    <sheetView showGridLines="0" tabSelected="1" workbookViewId="0">
      <selection activeCell="A18" sqref="A18:O18"/>
    </sheetView>
  </sheetViews>
  <sheetFormatPr defaultColWidth="11.42578125" defaultRowHeight="15" x14ac:dyDescent="0.25"/>
  <cols>
    <col min="1" max="1" width="24.7109375" customWidth="1"/>
  </cols>
  <sheetData>
    <row r="1" spans="1:18" ht="31.15" customHeight="1" x14ac:dyDescent="0.5">
      <c r="A1" s="4" t="s">
        <v>0</v>
      </c>
      <c r="B1" s="4"/>
      <c r="C1" s="4"/>
      <c r="D1" s="4"/>
      <c r="E1" s="4"/>
      <c r="F1" s="4"/>
      <c r="G1" s="4"/>
      <c r="H1" s="4"/>
      <c r="I1" s="4"/>
      <c r="J1" s="4"/>
      <c r="K1" s="4"/>
      <c r="L1" s="4"/>
      <c r="M1" s="4"/>
      <c r="N1" s="6"/>
      <c r="O1" s="6"/>
      <c r="P1" s="6"/>
      <c r="Q1" s="6"/>
      <c r="R1" s="6"/>
    </row>
    <row r="2" spans="1:18" ht="23.45" customHeight="1" x14ac:dyDescent="0.35">
      <c r="A2" s="7"/>
      <c r="B2" s="6"/>
      <c r="C2" s="6"/>
      <c r="D2" s="6"/>
      <c r="E2" s="6"/>
      <c r="F2" s="6"/>
      <c r="G2" s="6"/>
      <c r="H2" s="6"/>
      <c r="I2" s="6"/>
      <c r="J2" s="6"/>
      <c r="K2" s="6"/>
      <c r="L2" s="6"/>
      <c r="M2" s="6"/>
      <c r="N2" s="6"/>
      <c r="O2" s="6"/>
      <c r="P2" s="6"/>
      <c r="Q2" s="6"/>
      <c r="R2" s="6"/>
    </row>
    <row r="3" spans="1:18" ht="25.9" customHeight="1" x14ac:dyDescent="0.4">
      <c r="A3" s="2" t="s">
        <v>1</v>
      </c>
      <c r="B3" s="2"/>
      <c r="C3" s="2"/>
      <c r="D3" s="2"/>
      <c r="E3" s="2"/>
      <c r="F3" s="2"/>
      <c r="G3" s="2"/>
      <c r="H3" s="2"/>
      <c r="I3" s="2"/>
      <c r="J3" s="2"/>
      <c r="K3" s="2"/>
      <c r="L3" s="2"/>
      <c r="M3" s="2"/>
      <c r="N3" s="3"/>
      <c r="O3" s="3"/>
      <c r="P3" s="3"/>
      <c r="Q3" s="3"/>
      <c r="R3" s="3"/>
    </row>
    <row r="4" spans="1:18" x14ac:dyDescent="0.25">
      <c r="A4" s="6"/>
      <c r="B4" s="6"/>
      <c r="C4" s="6"/>
      <c r="D4" s="6"/>
      <c r="E4" s="6"/>
      <c r="F4" s="6"/>
      <c r="G4" s="6"/>
      <c r="H4" s="6"/>
      <c r="I4" s="6"/>
      <c r="J4" s="6"/>
      <c r="K4" s="6"/>
      <c r="L4" s="6"/>
      <c r="M4" s="6"/>
      <c r="N4" s="6"/>
      <c r="O4" s="6"/>
      <c r="P4" s="6"/>
      <c r="Q4" s="6"/>
      <c r="R4" s="6"/>
    </row>
    <row r="5" spans="1:18" x14ac:dyDescent="0.25">
      <c r="A5" s="80" t="s">
        <v>2</v>
      </c>
      <c r="B5" s="80"/>
      <c r="C5" s="80"/>
      <c r="D5" s="80"/>
      <c r="E5" s="80"/>
      <c r="F5" s="80"/>
      <c r="G5" s="80"/>
      <c r="H5" s="80"/>
      <c r="I5" s="80"/>
      <c r="J5" s="80"/>
      <c r="K5" s="80"/>
      <c r="L5" s="80"/>
      <c r="M5" s="80"/>
      <c r="N5" s="80"/>
      <c r="O5" s="83"/>
      <c r="P5" s="6"/>
      <c r="Q5" s="6"/>
      <c r="R5" s="6"/>
    </row>
    <row r="6" spans="1:18" ht="30.75" customHeight="1" x14ac:dyDescent="0.25">
      <c r="A6" s="81" t="s">
        <v>3</v>
      </c>
      <c r="B6" s="81"/>
      <c r="C6" s="81"/>
      <c r="D6" s="81"/>
      <c r="E6" s="81"/>
      <c r="F6" s="81"/>
      <c r="G6" s="81"/>
      <c r="H6" s="81"/>
      <c r="I6" s="81"/>
      <c r="J6" s="81"/>
      <c r="K6" s="81"/>
      <c r="L6" s="81"/>
      <c r="M6" s="81"/>
      <c r="N6" s="81"/>
      <c r="O6" s="81"/>
      <c r="P6" s="6"/>
      <c r="Q6" s="6"/>
      <c r="R6" s="6"/>
    </row>
    <row r="7" spans="1:18" x14ac:dyDescent="0.25">
      <c r="A7" s="80" t="s">
        <v>4</v>
      </c>
      <c r="B7" s="80"/>
      <c r="C7" s="80"/>
      <c r="D7" s="80"/>
      <c r="E7" s="80"/>
      <c r="F7" s="80"/>
      <c r="G7" s="80"/>
      <c r="H7" s="80"/>
      <c r="I7" s="80"/>
      <c r="J7" s="80"/>
      <c r="K7" s="80"/>
      <c r="L7" s="80"/>
      <c r="M7" s="80"/>
      <c r="N7" s="80"/>
      <c r="O7" s="80"/>
      <c r="P7" s="6"/>
      <c r="Q7" s="6"/>
      <c r="R7" s="6"/>
    </row>
    <row r="8" spans="1:18" x14ac:dyDescent="0.25">
      <c r="A8" s="5" t="s">
        <v>5</v>
      </c>
      <c r="B8" s="84" t="s">
        <v>6</v>
      </c>
      <c r="C8" s="84"/>
      <c r="D8" s="84"/>
      <c r="E8" s="84"/>
      <c r="F8" s="84"/>
      <c r="G8" s="84"/>
      <c r="H8" s="84"/>
      <c r="I8" s="84"/>
      <c r="J8" s="84"/>
      <c r="K8" s="84"/>
      <c r="L8" s="84"/>
      <c r="M8" s="84"/>
      <c r="N8" s="84"/>
      <c r="O8" s="84"/>
      <c r="P8" s="6"/>
      <c r="Q8" s="6"/>
      <c r="R8" s="6"/>
    </row>
    <row r="9" spans="1:18" x14ac:dyDescent="0.25">
      <c r="A9" s="8" t="s">
        <v>5</v>
      </c>
      <c r="B9" s="84" t="s">
        <v>7</v>
      </c>
      <c r="C9" s="84"/>
      <c r="D9" s="84"/>
      <c r="E9" s="84"/>
      <c r="F9" s="84"/>
      <c r="G9" s="84"/>
      <c r="H9" s="84"/>
      <c r="I9" s="84"/>
      <c r="J9" s="84"/>
      <c r="K9" s="84"/>
      <c r="L9" s="84"/>
      <c r="M9" s="84"/>
      <c r="N9" s="84"/>
      <c r="O9" s="84"/>
      <c r="P9" s="6"/>
      <c r="Q9" s="6"/>
      <c r="R9" s="6"/>
    </row>
    <row r="10" spans="1:18" x14ac:dyDescent="0.25">
      <c r="A10" s="80" t="s">
        <v>8</v>
      </c>
      <c r="B10" s="80"/>
      <c r="C10" s="80"/>
      <c r="D10" s="80"/>
      <c r="E10" s="80"/>
      <c r="F10" s="80"/>
      <c r="G10" s="80"/>
      <c r="H10" s="80"/>
      <c r="I10" s="80"/>
      <c r="J10" s="80"/>
      <c r="K10" s="80"/>
      <c r="L10" s="80"/>
      <c r="M10" s="80"/>
      <c r="N10" s="80"/>
      <c r="O10" s="80"/>
      <c r="P10" s="6"/>
      <c r="Q10" s="6"/>
      <c r="R10" s="6"/>
    </row>
    <row r="11" spans="1:18" ht="43.5" customHeight="1" x14ac:dyDescent="0.25">
      <c r="A11" s="81" t="s">
        <v>9</v>
      </c>
      <c r="B11" s="81"/>
      <c r="C11" s="81"/>
      <c r="D11" s="81"/>
      <c r="E11" s="81"/>
      <c r="F11" s="81"/>
      <c r="G11" s="81"/>
      <c r="H11" s="81"/>
      <c r="I11" s="81"/>
      <c r="J11" s="81"/>
      <c r="K11" s="81"/>
      <c r="L11" s="81"/>
      <c r="M11" s="81"/>
      <c r="N11" s="81"/>
      <c r="O11" s="81"/>
      <c r="P11" s="6"/>
      <c r="Q11" s="6"/>
      <c r="R11" s="6"/>
    </row>
    <row r="12" spans="1:18" x14ac:dyDescent="0.25">
      <c r="A12" s="6"/>
      <c r="B12" s="6"/>
      <c r="C12" s="6"/>
      <c r="D12" s="6"/>
      <c r="E12" s="6"/>
      <c r="F12" s="6"/>
      <c r="G12" s="6"/>
      <c r="H12" s="6"/>
      <c r="I12" s="6"/>
      <c r="J12" s="6"/>
      <c r="K12" s="6"/>
      <c r="L12" s="6"/>
      <c r="M12" s="6"/>
      <c r="N12" s="6"/>
      <c r="O12" s="6"/>
      <c r="P12" s="6"/>
      <c r="Q12" s="6"/>
      <c r="R12" s="6"/>
    </row>
    <row r="13" spans="1:18" x14ac:dyDescent="0.25">
      <c r="A13" s="80" t="s">
        <v>10</v>
      </c>
      <c r="B13" s="80"/>
      <c r="C13" s="80"/>
      <c r="D13" s="80"/>
      <c r="E13" s="80"/>
      <c r="F13" s="80"/>
      <c r="G13" s="80"/>
      <c r="H13" s="80"/>
      <c r="I13" s="80"/>
      <c r="J13" s="80"/>
      <c r="K13" s="80"/>
      <c r="L13" s="80"/>
      <c r="M13" s="80"/>
      <c r="N13" s="80"/>
      <c r="O13" s="80"/>
      <c r="P13" s="6"/>
      <c r="Q13" s="6"/>
      <c r="R13" s="6"/>
    </row>
    <row r="14" spans="1:18" ht="46.5" customHeight="1" x14ac:dyDescent="0.25">
      <c r="A14" s="82" t="s">
        <v>11</v>
      </c>
      <c r="B14" s="82"/>
      <c r="C14" s="82"/>
      <c r="D14" s="82"/>
      <c r="E14" s="82"/>
      <c r="F14" s="82"/>
      <c r="G14" s="82"/>
      <c r="H14" s="82"/>
      <c r="I14" s="82"/>
      <c r="J14" s="82"/>
      <c r="K14" s="82"/>
      <c r="L14" s="82"/>
      <c r="M14" s="82"/>
      <c r="N14" s="82"/>
      <c r="O14" s="82"/>
      <c r="P14" s="6"/>
      <c r="Q14" s="6"/>
      <c r="R14" s="6"/>
    </row>
    <row r="15" spans="1:18" ht="15.6" customHeight="1" x14ac:dyDescent="0.35">
      <c r="A15" s="9" t="s">
        <v>12</v>
      </c>
      <c r="B15" s="10" t="s">
        <v>13</v>
      </c>
      <c r="C15" s="10" t="s">
        <v>14</v>
      </c>
      <c r="D15" s="11" t="s">
        <v>15</v>
      </c>
      <c r="E15" s="6"/>
      <c r="F15" s="6"/>
      <c r="G15" s="6"/>
      <c r="H15" s="6"/>
      <c r="I15" s="6"/>
      <c r="J15" s="6"/>
      <c r="K15" s="6"/>
      <c r="L15" s="6"/>
      <c r="M15" s="6"/>
      <c r="N15" s="6"/>
      <c r="O15" s="6"/>
      <c r="P15" s="6"/>
      <c r="Q15" s="6"/>
      <c r="R15" s="6"/>
    </row>
    <row r="16" spans="1:18" x14ac:dyDescent="0.25">
      <c r="A16" s="9" t="s">
        <v>10</v>
      </c>
      <c r="B16" s="10">
        <v>1</v>
      </c>
      <c r="C16" s="10">
        <v>28</v>
      </c>
      <c r="D16" s="12">
        <v>265</v>
      </c>
      <c r="E16" s="6"/>
      <c r="F16" s="6"/>
      <c r="G16" s="6"/>
      <c r="H16" s="6"/>
      <c r="I16" s="6"/>
      <c r="J16" s="6"/>
      <c r="K16" s="6"/>
      <c r="L16" s="6"/>
      <c r="M16" s="6"/>
      <c r="N16" s="6"/>
      <c r="O16" s="6"/>
      <c r="P16" s="6"/>
      <c r="Q16" s="6"/>
      <c r="R16" s="6"/>
    </row>
    <row r="17" spans="1:18" x14ac:dyDescent="0.25">
      <c r="A17" s="6"/>
      <c r="B17" s="6"/>
      <c r="C17" s="6"/>
      <c r="D17" s="6"/>
      <c r="E17" s="6"/>
      <c r="F17" s="6"/>
      <c r="G17" s="6"/>
      <c r="H17" s="6"/>
      <c r="I17" s="6"/>
      <c r="J17" s="6"/>
      <c r="K17" s="6"/>
      <c r="L17" s="6"/>
      <c r="M17" s="6"/>
      <c r="N17" s="6"/>
      <c r="O17" s="6"/>
      <c r="P17" s="6"/>
      <c r="Q17" s="6"/>
      <c r="R17" s="6"/>
    </row>
    <row r="18" spans="1:18" ht="302.25" customHeight="1" x14ac:dyDescent="0.25">
      <c r="A18" s="81" t="s">
        <v>16</v>
      </c>
      <c r="B18" s="81"/>
      <c r="C18" s="81"/>
      <c r="D18" s="81"/>
      <c r="E18" s="81"/>
      <c r="F18" s="81"/>
      <c r="G18" s="81"/>
      <c r="H18" s="81"/>
      <c r="I18" s="81"/>
      <c r="J18" s="81"/>
      <c r="K18" s="81"/>
      <c r="L18" s="81"/>
      <c r="M18" s="81"/>
      <c r="N18" s="81"/>
      <c r="O18" s="81"/>
      <c r="P18" s="6"/>
      <c r="Q18" s="6"/>
      <c r="R18" s="6"/>
    </row>
    <row r="19" spans="1:18" x14ac:dyDescent="0.25">
      <c r="A19" s="1"/>
      <c r="B19" s="1"/>
      <c r="C19" s="1"/>
      <c r="D19" s="1"/>
      <c r="E19" s="1"/>
      <c r="F19" s="1"/>
      <c r="G19" s="1"/>
      <c r="H19" s="1"/>
      <c r="I19" s="1"/>
      <c r="J19" s="1"/>
      <c r="K19" s="1"/>
      <c r="L19" s="1"/>
      <c r="M19" s="1"/>
      <c r="N19" s="1"/>
      <c r="O19" s="1"/>
      <c r="P19" s="6"/>
      <c r="Q19" s="6"/>
      <c r="R19" s="6"/>
    </row>
  </sheetData>
  <mergeCells count="10">
    <mergeCell ref="A5:O5"/>
    <mergeCell ref="A6:O6"/>
    <mergeCell ref="A7:O7"/>
    <mergeCell ref="B8:O8"/>
    <mergeCell ref="B9:O9"/>
    <mergeCell ref="A10:O10"/>
    <mergeCell ref="A11:O11"/>
    <mergeCell ref="A13:O13"/>
    <mergeCell ref="A14:O14"/>
    <mergeCell ref="A18:O18"/>
  </mergeCells>
  <pageMargins left="0.7" right="0.7" top="0.75" bottom="0.75" header="0.3" footer="0.3"/>
  <pageSetup paperSize="9" orientation="portrait" horizontalDpi="300" verticalDpi="300"/>
  <headerFooter>
    <oddHeader>&amp;C&amp;"Calibri"&amp;9&amp;K000000 [IN-CONFIDENCE]&amp;1#_x000D_</oddHeader>
    <oddFooter>&amp;C_x000D_&amp;1#&amp;"Calibri"&amp;9&amp;K000000 [IN-CONFIDENCE]</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7"/>
  <sheetViews>
    <sheetView showGridLines="0" workbookViewId="0">
      <selection sqref="A1:J1"/>
    </sheetView>
  </sheetViews>
  <sheetFormatPr defaultColWidth="11.42578125" defaultRowHeight="15" x14ac:dyDescent="0.25"/>
  <cols>
    <col min="1" max="1" width="50.7109375" customWidth="1"/>
    <col min="2" max="2" width="39.5703125" customWidth="1"/>
    <col min="3" max="3" width="22.5703125" customWidth="1"/>
    <col min="4" max="8" width="17.7109375" customWidth="1"/>
    <col min="9" max="9" width="49.7109375" customWidth="1"/>
    <col min="10" max="10" width="20.7109375" customWidth="1"/>
  </cols>
  <sheetData>
    <row r="1" spans="1:16" ht="31.5" x14ac:dyDescent="0.25">
      <c r="A1" s="98" t="s">
        <v>46</v>
      </c>
      <c r="B1" s="97"/>
      <c r="C1" s="97"/>
      <c r="D1" s="97"/>
      <c r="E1" s="97"/>
      <c r="F1" s="97"/>
      <c r="G1" s="97"/>
      <c r="H1" s="97"/>
      <c r="I1" s="97"/>
      <c r="J1" s="97"/>
    </row>
    <row r="2" spans="1:16" ht="23.25" x14ac:dyDescent="0.25">
      <c r="A2" s="99" t="s">
        <v>47</v>
      </c>
      <c r="B2" s="97"/>
      <c r="C2" s="97"/>
      <c r="D2" s="97"/>
      <c r="E2" s="97"/>
      <c r="F2" s="97"/>
      <c r="G2" s="97"/>
      <c r="H2" s="97"/>
      <c r="I2" s="97"/>
      <c r="J2" s="97"/>
    </row>
    <row r="4" spans="1:16" ht="31.5" x14ac:dyDescent="0.25">
      <c r="A4" s="98" t="s">
        <v>1396</v>
      </c>
      <c r="B4" s="97"/>
      <c r="C4" s="97"/>
      <c r="D4" s="97"/>
      <c r="E4" s="97"/>
      <c r="F4" s="97"/>
      <c r="G4" s="97"/>
      <c r="H4" s="97"/>
      <c r="I4" s="97"/>
      <c r="J4" s="97"/>
    </row>
    <row r="5" spans="1:16" x14ac:dyDescent="0.25">
      <c r="A5" s="100" t="s">
        <v>49</v>
      </c>
      <c r="B5" s="97"/>
      <c r="C5" s="97"/>
      <c r="D5" s="97"/>
      <c r="E5" s="97"/>
      <c r="F5" s="97"/>
      <c r="G5" s="97"/>
      <c r="H5" s="97"/>
      <c r="I5" s="97"/>
      <c r="J5" s="97"/>
    </row>
    <row r="6" spans="1:16" ht="21" customHeight="1" x14ac:dyDescent="0.25">
      <c r="A6" s="101" t="s">
        <v>172</v>
      </c>
      <c r="B6" s="97"/>
      <c r="C6" s="97"/>
      <c r="D6" s="97"/>
      <c r="E6" s="97"/>
      <c r="F6" s="97"/>
      <c r="G6" s="97"/>
      <c r="H6" s="97"/>
      <c r="I6" s="97"/>
      <c r="J6" s="97"/>
    </row>
    <row r="8" spans="1:16" x14ac:dyDescent="0.25">
      <c r="A8" s="104" t="s">
        <v>1397</v>
      </c>
      <c r="B8" s="97"/>
      <c r="C8" s="97"/>
      <c r="D8" s="97"/>
      <c r="E8" s="58" t="s">
        <v>52</v>
      </c>
      <c r="F8" s="58" t="s">
        <v>53</v>
      </c>
      <c r="G8" s="58" t="s">
        <v>54</v>
      </c>
      <c r="H8" s="58" t="s">
        <v>55</v>
      </c>
    </row>
    <row r="9" spans="1:16" x14ac:dyDescent="0.25">
      <c r="A9" s="97"/>
      <c r="B9" s="97"/>
      <c r="C9" s="97"/>
      <c r="D9" s="97"/>
      <c r="E9" s="56">
        <f>SUM('Wastewater treatment'!E21,'Wastewater treatment'!E27)</f>
        <v>0</v>
      </c>
      <c r="F9" s="57">
        <f>SUM('Wastewater treatment'!F21,'Wastewater treatment'!F27)</f>
        <v>0</v>
      </c>
      <c r="G9" s="57">
        <f>SUM('Wastewater treatment'!G21,'Wastewater treatment'!G27)</f>
        <v>0</v>
      </c>
      <c r="H9" s="57">
        <f>SUM('Wastewater treatment'!H21,'Wastewater treatment'!H27)</f>
        <v>0</v>
      </c>
    </row>
    <row r="11" spans="1:16" x14ac:dyDescent="0.25">
      <c r="A11" s="92" t="s">
        <v>1398</v>
      </c>
      <c r="B11" s="92"/>
      <c r="C11" s="92"/>
      <c r="D11" s="92"/>
      <c r="E11" s="92"/>
      <c r="F11" s="92"/>
      <c r="G11" s="92"/>
      <c r="H11" s="92"/>
      <c r="I11" s="92"/>
      <c r="J11" s="92"/>
    </row>
    <row r="12" spans="1:16" x14ac:dyDescent="0.25">
      <c r="A12" s="93" t="s">
        <v>60</v>
      </c>
      <c r="B12" s="93"/>
      <c r="C12" s="59" t="s">
        <v>61</v>
      </c>
      <c r="D12" s="60" t="s">
        <v>62</v>
      </c>
      <c r="E12" s="58" t="s">
        <v>63</v>
      </c>
      <c r="F12" s="58" t="s">
        <v>64</v>
      </c>
      <c r="G12" s="58" t="s">
        <v>65</v>
      </c>
      <c r="H12" s="58" t="s">
        <v>66</v>
      </c>
      <c r="I12" s="59" t="s">
        <v>240</v>
      </c>
      <c r="J12" s="59" t="s">
        <v>67</v>
      </c>
      <c r="P12" s="61" t="s">
        <v>68</v>
      </c>
    </row>
    <row r="13" spans="1:16" x14ac:dyDescent="0.25">
      <c r="A13" s="95" t="s">
        <v>1399</v>
      </c>
      <c r="B13" s="52" t="s">
        <v>1400</v>
      </c>
      <c r="C13" s="52" t="s">
        <v>1401</v>
      </c>
      <c r="D13" s="50"/>
      <c r="E13" s="56">
        <f t="shared" ref="E13:E20" si="0">F13 + G13 + H13</f>
        <v>0</v>
      </c>
      <c r="F13" s="57">
        <f>D13 * 0.057847728</f>
        <v>0</v>
      </c>
      <c r="G13" s="57">
        <f>D13 * 0.1985111201</f>
        <v>0</v>
      </c>
      <c r="H13" s="57">
        <f>D13 * 0.220077938</f>
        <v>0</v>
      </c>
      <c r="I13" s="52" t="s">
        <v>1402</v>
      </c>
      <c r="J13" s="52" t="s">
        <v>1403</v>
      </c>
      <c r="P13" s="64" t="s">
        <v>1404</v>
      </c>
    </row>
    <row r="14" spans="1:16" x14ac:dyDescent="0.25">
      <c r="A14" s="95"/>
      <c r="B14" s="52" t="s">
        <v>1400</v>
      </c>
      <c r="C14" s="52" t="s">
        <v>1405</v>
      </c>
      <c r="D14" s="50"/>
      <c r="E14" s="56">
        <f t="shared" si="0"/>
        <v>0</v>
      </c>
      <c r="F14" s="57">
        <f>D14 * 5.5389827694</f>
        <v>0</v>
      </c>
      <c r="G14" s="57">
        <f>D14 * 19.0076552921</f>
        <v>0</v>
      </c>
      <c r="H14" s="57">
        <f>D14 * 21.072701515</f>
        <v>0</v>
      </c>
      <c r="I14" s="52" t="s">
        <v>1402</v>
      </c>
      <c r="J14" s="52" t="s">
        <v>1403</v>
      </c>
      <c r="P14" s="64" t="s">
        <v>1406</v>
      </c>
    </row>
    <row r="15" spans="1:16" x14ac:dyDescent="0.25">
      <c r="A15" s="95"/>
      <c r="B15" s="52" t="s">
        <v>1407</v>
      </c>
      <c r="C15" s="52" t="s">
        <v>1405</v>
      </c>
      <c r="D15" s="50"/>
      <c r="E15" s="56">
        <f t="shared" si="0"/>
        <v>0</v>
      </c>
      <c r="F15" s="57">
        <f t="shared" ref="F15:F20" si="1">D15 * 0</f>
        <v>0</v>
      </c>
      <c r="G15" s="57">
        <f>D15 * 149.9</f>
        <v>0</v>
      </c>
      <c r="H15" s="57">
        <f>D15 * 25.3</f>
        <v>0</v>
      </c>
      <c r="I15" s="52" t="s">
        <v>1402</v>
      </c>
      <c r="J15" s="52" t="s">
        <v>1403</v>
      </c>
      <c r="P15" s="64" t="s">
        <v>1408</v>
      </c>
    </row>
    <row r="16" spans="1:16" x14ac:dyDescent="0.25">
      <c r="A16" s="95" t="s">
        <v>1409</v>
      </c>
      <c r="B16" s="52" t="s">
        <v>1410</v>
      </c>
      <c r="C16" s="52" t="s">
        <v>1411</v>
      </c>
      <c r="D16" s="50"/>
      <c r="E16" s="56">
        <f t="shared" si="0"/>
        <v>0</v>
      </c>
      <c r="F16" s="57">
        <f t="shared" si="1"/>
        <v>0</v>
      </c>
      <c r="G16" s="57">
        <f>D16 * 50.05</f>
        <v>0</v>
      </c>
      <c r="H16" s="57">
        <f>D16 * 2.5260557143</f>
        <v>0</v>
      </c>
      <c r="I16" s="52" t="s">
        <v>1402</v>
      </c>
      <c r="J16" s="52" t="s">
        <v>1403</v>
      </c>
      <c r="P16" s="64" t="s">
        <v>1412</v>
      </c>
    </row>
    <row r="17" spans="1:16" x14ac:dyDescent="0.25">
      <c r="A17" s="95"/>
      <c r="B17" s="52" t="s">
        <v>1413</v>
      </c>
      <c r="C17" s="52" t="s">
        <v>1411</v>
      </c>
      <c r="D17" s="50"/>
      <c r="E17" s="56">
        <f t="shared" si="0"/>
        <v>0</v>
      </c>
      <c r="F17" s="57">
        <f t="shared" si="1"/>
        <v>0</v>
      </c>
      <c r="G17" s="57">
        <f>D17 * 48.125</f>
        <v>0</v>
      </c>
      <c r="H17" s="57">
        <f>D17 * 3.6073125</f>
        <v>0</v>
      </c>
      <c r="I17" s="52" t="s">
        <v>1402</v>
      </c>
      <c r="J17" s="52" t="s">
        <v>1403</v>
      </c>
      <c r="P17" s="64" t="s">
        <v>1414</v>
      </c>
    </row>
    <row r="18" spans="1:16" x14ac:dyDescent="0.25">
      <c r="A18" s="95"/>
      <c r="B18" s="52" t="s">
        <v>1415</v>
      </c>
      <c r="C18" s="52" t="s">
        <v>1416</v>
      </c>
      <c r="D18" s="50"/>
      <c r="E18" s="56">
        <f t="shared" si="0"/>
        <v>0</v>
      </c>
      <c r="F18" s="57">
        <f t="shared" si="1"/>
        <v>0</v>
      </c>
      <c r="G18" s="57">
        <f>D18 * 11.7936</f>
        <v>0</v>
      </c>
      <c r="H18" s="57">
        <f>D18 * 0</f>
        <v>0</v>
      </c>
      <c r="I18" s="52" t="s">
        <v>1402</v>
      </c>
      <c r="J18" s="52" t="s">
        <v>1403</v>
      </c>
      <c r="P18" s="64" t="s">
        <v>1417</v>
      </c>
    </row>
    <row r="19" spans="1:16" x14ac:dyDescent="0.25">
      <c r="A19" s="95"/>
      <c r="B19" s="52" t="s">
        <v>1418</v>
      </c>
      <c r="C19" s="52" t="s">
        <v>1419</v>
      </c>
      <c r="D19" s="50"/>
      <c r="E19" s="56">
        <f t="shared" si="0"/>
        <v>0</v>
      </c>
      <c r="F19" s="57">
        <f t="shared" si="1"/>
        <v>0</v>
      </c>
      <c r="G19" s="57">
        <f>D19 * 5.79402936</f>
        <v>0</v>
      </c>
      <c r="H19" s="57">
        <f>D19 * 0</f>
        <v>0</v>
      </c>
      <c r="I19" s="52" t="s">
        <v>1402</v>
      </c>
      <c r="J19" s="52" t="s">
        <v>1403</v>
      </c>
      <c r="P19" s="64" t="s">
        <v>1420</v>
      </c>
    </row>
    <row r="20" spans="1:16" x14ac:dyDescent="0.25">
      <c r="A20" s="95"/>
      <c r="B20" s="52" t="s">
        <v>1421</v>
      </c>
      <c r="C20" s="52" t="s">
        <v>1422</v>
      </c>
      <c r="D20" s="50"/>
      <c r="E20" s="56">
        <f t="shared" si="0"/>
        <v>0</v>
      </c>
      <c r="F20" s="57">
        <f t="shared" si="1"/>
        <v>0</v>
      </c>
      <c r="G20" s="57">
        <f>D20 * 0</f>
        <v>0</v>
      </c>
      <c r="H20" s="57">
        <f>D20 * 0.1022415429</f>
        <v>0</v>
      </c>
      <c r="I20" s="52" t="s">
        <v>1402</v>
      </c>
      <c r="J20" s="52" t="s">
        <v>1403</v>
      </c>
      <c r="P20" s="64" t="s">
        <v>1423</v>
      </c>
    </row>
    <row r="21" spans="1:16" x14ac:dyDescent="0.25">
      <c r="D21" s="65" t="s">
        <v>116</v>
      </c>
      <c r="E21" s="56">
        <f>SUM(E13:E20)</f>
        <v>0</v>
      </c>
      <c r="F21" s="57">
        <f>SUM(F13:F20)</f>
        <v>0</v>
      </c>
      <c r="G21" s="57">
        <f>SUM(G13:G20)</f>
        <v>0</v>
      </c>
      <c r="H21" s="57">
        <f>SUM(H13:H20)</f>
        <v>0</v>
      </c>
    </row>
    <row r="23" spans="1:16" x14ac:dyDescent="0.25">
      <c r="A23" s="92" t="s">
        <v>1424</v>
      </c>
      <c r="B23" s="92"/>
      <c r="C23" s="92"/>
      <c r="D23" s="92"/>
      <c r="E23" s="92"/>
      <c r="F23" s="92"/>
      <c r="G23" s="92"/>
      <c r="H23" s="92"/>
      <c r="I23" s="92"/>
      <c r="J23" s="92"/>
    </row>
    <row r="24" spans="1:16" x14ac:dyDescent="0.25">
      <c r="A24" s="93" t="s">
        <v>60</v>
      </c>
      <c r="B24" s="93"/>
      <c r="C24" s="59" t="s">
        <v>61</v>
      </c>
      <c r="D24" s="60" t="s">
        <v>62</v>
      </c>
      <c r="E24" s="58" t="s">
        <v>63</v>
      </c>
      <c r="F24" s="58" t="s">
        <v>64</v>
      </c>
      <c r="G24" s="58" t="s">
        <v>65</v>
      </c>
      <c r="H24" s="58" t="s">
        <v>66</v>
      </c>
      <c r="I24" s="59" t="s">
        <v>240</v>
      </c>
      <c r="J24" s="59" t="s">
        <v>67</v>
      </c>
      <c r="P24" s="61" t="s">
        <v>68</v>
      </c>
    </row>
    <row r="25" spans="1:16" x14ac:dyDescent="0.25">
      <c r="A25" s="102" t="s">
        <v>1424</v>
      </c>
      <c r="B25" s="103" t="s">
        <v>1424</v>
      </c>
      <c r="C25" s="52" t="s">
        <v>1425</v>
      </c>
      <c r="D25" s="50"/>
      <c r="E25" s="56">
        <f>F25 + G25 + H25</f>
        <v>0</v>
      </c>
      <c r="F25" s="57">
        <f>D25 * 0.0336217291</f>
        <v>0</v>
      </c>
      <c r="G25" s="57">
        <f>D25 * 0.0012442627</f>
        <v>0</v>
      </c>
      <c r="H25" s="57">
        <f>D25 * 0.000036399</f>
        <v>0</v>
      </c>
      <c r="I25" s="52" t="s">
        <v>1426</v>
      </c>
      <c r="J25" s="52" t="s">
        <v>176</v>
      </c>
      <c r="P25" s="64" t="s">
        <v>1427</v>
      </c>
    </row>
    <row r="26" spans="1:16" x14ac:dyDescent="0.25">
      <c r="A26" s="102" t="s">
        <v>1424</v>
      </c>
      <c r="B26" s="103" t="s">
        <v>1424</v>
      </c>
      <c r="C26" s="52" t="s">
        <v>1405</v>
      </c>
      <c r="D26" s="50"/>
      <c r="E26" s="56">
        <f>F26 + G26 + H26</f>
        <v>0</v>
      </c>
      <c r="F26" s="57">
        <f>D26 * 3.9270540381</f>
        <v>0</v>
      </c>
      <c r="G26" s="57">
        <f>D26 * 0.1453312201</f>
        <v>0</v>
      </c>
      <c r="H26" s="57">
        <f>D26 * 0.0042514374</f>
        <v>0</v>
      </c>
      <c r="I26" s="52" t="s">
        <v>1428</v>
      </c>
      <c r="J26" s="52" t="s">
        <v>176</v>
      </c>
      <c r="P26" s="64" t="s">
        <v>1429</v>
      </c>
    </row>
    <row r="27" spans="1:16" x14ac:dyDescent="0.25">
      <c r="D27" s="65" t="s">
        <v>116</v>
      </c>
      <c r="E27" s="56">
        <f>SUM(E25:E26)</f>
        <v>0</v>
      </c>
      <c r="F27" s="57">
        <f>SUM(F25:F26)</f>
        <v>0</v>
      </c>
      <c r="G27" s="57">
        <f>SUM(G25:G26)</f>
        <v>0</v>
      </c>
      <c r="H27" s="57">
        <f>SUM(H25:H26)</f>
        <v>0</v>
      </c>
    </row>
  </sheetData>
  <mergeCells count="14">
    <mergeCell ref="A1:J1"/>
    <mergeCell ref="A2:J2"/>
    <mergeCell ref="A4:J4"/>
    <mergeCell ref="A5:J5"/>
    <mergeCell ref="A6:J6"/>
    <mergeCell ref="A24:B24"/>
    <mergeCell ref="A25:B25"/>
    <mergeCell ref="A26:B26"/>
    <mergeCell ref="A8:D9"/>
    <mergeCell ref="A11:J11"/>
    <mergeCell ref="A12:B12"/>
    <mergeCell ref="A13:A15"/>
    <mergeCell ref="A16:A20"/>
    <mergeCell ref="A23:J23"/>
  </mergeCells>
  <pageMargins left="0.7" right="0.7" top="0.75" bottom="0.75" header="0.3" footer="0.3"/>
  <pageSetup paperSize="9" orientation="portrait" horizontalDpi="300" verticalDpi="300"/>
  <headerFooter>
    <oddHeader>&amp;C&amp;"Calibri"&amp;9&amp;K000000 [IN-CONFIDENCE]&amp;1#_x000D_</oddHeader>
    <oddFooter>&amp;C_x000D_&amp;1#&amp;"Calibri"&amp;9&amp;K000000 [IN-CONFIDENCE]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60"/>
  <sheetViews>
    <sheetView workbookViewId="0">
      <selection sqref="A1:J1"/>
    </sheetView>
  </sheetViews>
  <sheetFormatPr defaultColWidth="11.42578125" defaultRowHeight="15" x14ac:dyDescent="0.25"/>
  <cols>
    <col min="1" max="1" width="50.7109375" customWidth="1"/>
    <col min="2" max="2" width="36.5703125" customWidth="1"/>
    <col min="3" max="8" width="17.7109375" customWidth="1"/>
    <col min="9" max="9" width="45.7109375" customWidth="1"/>
    <col min="10" max="10" width="20.7109375" customWidth="1"/>
  </cols>
  <sheetData>
    <row r="1" spans="1:16" ht="31.5" x14ac:dyDescent="0.25">
      <c r="A1" s="98" t="s">
        <v>46</v>
      </c>
      <c r="B1" s="97"/>
      <c r="C1" s="97"/>
      <c r="D1" s="97"/>
      <c r="E1" s="97"/>
      <c r="F1" s="97"/>
      <c r="G1" s="97"/>
      <c r="H1" s="97"/>
      <c r="I1" s="97"/>
      <c r="J1" s="97"/>
    </row>
    <row r="2" spans="1:16" ht="23.25" x14ac:dyDescent="0.25">
      <c r="A2" s="99" t="s">
        <v>47</v>
      </c>
      <c r="B2" s="97"/>
      <c r="C2" s="97"/>
      <c r="D2" s="97"/>
      <c r="E2" s="97"/>
      <c r="F2" s="97"/>
      <c r="G2" s="97"/>
      <c r="H2" s="97"/>
      <c r="I2" s="97"/>
      <c r="J2" s="97"/>
    </row>
    <row r="4" spans="1:16" ht="31.5" x14ac:dyDescent="0.25">
      <c r="A4" s="98" t="s">
        <v>1430</v>
      </c>
      <c r="B4" s="97"/>
      <c r="C4" s="97"/>
      <c r="D4" s="97"/>
      <c r="E4" s="97"/>
      <c r="F4" s="97"/>
      <c r="G4" s="97"/>
      <c r="H4" s="97"/>
      <c r="I4" s="97"/>
      <c r="J4" s="97"/>
    </row>
    <row r="5" spans="1:16" x14ac:dyDescent="0.25">
      <c r="A5" s="100" t="s">
        <v>49</v>
      </c>
      <c r="B5" s="97"/>
      <c r="C5" s="97"/>
      <c r="D5" s="97"/>
      <c r="E5" s="97"/>
      <c r="F5" s="97"/>
      <c r="G5" s="97"/>
      <c r="H5" s="97"/>
      <c r="I5" s="97"/>
      <c r="J5" s="97"/>
    </row>
    <row r="6" spans="1:16" ht="50.25" customHeight="1" x14ac:dyDescent="0.25">
      <c r="A6" s="101" t="s">
        <v>1431</v>
      </c>
      <c r="B6" s="97"/>
      <c r="C6" s="97"/>
      <c r="D6" s="97"/>
      <c r="E6" s="97"/>
      <c r="F6" s="97"/>
      <c r="G6" s="97"/>
      <c r="H6" s="97"/>
      <c r="I6" s="97"/>
      <c r="J6" s="97"/>
    </row>
    <row r="8" spans="1:16" x14ac:dyDescent="0.25">
      <c r="A8" s="104" t="s">
        <v>1432</v>
      </c>
      <c r="B8" s="97"/>
      <c r="C8" s="97"/>
      <c r="D8" s="97"/>
      <c r="E8" s="58" t="s">
        <v>52</v>
      </c>
      <c r="F8" s="58" t="s">
        <v>53</v>
      </c>
      <c r="G8" s="58" t="s">
        <v>54</v>
      </c>
      <c r="H8" s="58" t="s">
        <v>55</v>
      </c>
    </row>
    <row r="9" spans="1:16" x14ac:dyDescent="0.25">
      <c r="A9" s="97"/>
      <c r="B9" s="97"/>
      <c r="C9" s="97"/>
      <c r="D9" s="97"/>
      <c r="E9" s="56">
        <f>SUM(Waste!E25,Waste!E41,Waste!E47,Waste!E60)</f>
        <v>0</v>
      </c>
      <c r="F9" s="57">
        <f>SUM(Waste!F25,Waste!F41,Waste!F47,Waste!F60)</f>
        <v>0</v>
      </c>
      <c r="G9" s="57">
        <f>SUM(Waste!G25,Waste!G41,Waste!G47,Waste!G60)</f>
        <v>0</v>
      </c>
      <c r="H9" s="57">
        <f>SUM(Waste!H25,Waste!H41,Waste!H47,Waste!H60)</f>
        <v>0</v>
      </c>
    </row>
    <row r="11" spans="1:16" x14ac:dyDescent="0.25">
      <c r="A11" s="92" t="s">
        <v>1433</v>
      </c>
      <c r="B11" s="92"/>
      <c r="C11" s="92"/>
      <c r="D11" s="92"/>
      <c r="E11" s="92"/>
      <c r="F11" s="92"/>
      <c r="G11" s="92"/>
      <c r="H11" s="92"/>
      <c r="I11" s="92"/>
      <c r="J11" s="92"/>
    </row>
    <row r="12" spans="1:16" x14ac:dyDescent="0.25">
      <c r="A12" s="93" t="s">
        <v>60</v>
      </c>
      <c r="B12" s="93"/>
      <c r="C12" s="59" t="s">
        <v>61</v>
      </c>
      <c r="D12" s="60" t="s">
        <v>62</v>
      </c>
      <c r="E12" s="58" t="s">
        <v>63</v>
      </c>
      <c r="F12" s="58" t="s">
        <v>64</v>
      </c>
      <c r="G12" s="58" t="s">
        <v>65</v>
      </c>
      <c r="H12" s="58" t="s">
        <v>66</v>
      </c>
      <c r="I12" s="59" t="s">
        <v>240</v>
      </c>
      <c r="J12" s="59" t="s">
        <v>67</v>
      </c>
      <c r="P12" s="61" t="s">
        <v>68</v>
      </c>
    </row>
    <row r="13" spans="1:16" ht="18" x14ac:dyDescent="0.25">
      <c r="A13" s="95" t="s">
        <v>1434</v>
      </c>
      <c r="B13" s="52" t="s">
        <v>1435</v>
      </c>
      <c r="C13" s="52" t="s">
        <v>72</v>
      </c>
      <c r="D13" s="50"/>
      <c r="E13" s="56">
        <f t="shared" ref="E13:E24" si="0">F13 + G13 + H13</f>
        <v>0</v>
      </c>
      <c r="F13" s="57">
        <f t="shared" ref="F13:F24" si="1">D13 * 0</f>
        <v>0</v>
      </c>
      <c r="G13" s="57">
        <f>D13 * 0.6741504</f>
        <v>0</v>
      </c>
      <c r="H13" s="57">
        <f t="shared" ref="H13:H24" si="2">D13 * 0</f>
        <v>0</v>
      </c>
      <c r="I13" s="52" t="s">
        <v>1436</v>
      </c>
      <c r="J13" s="52" t="s">
        <v>1437</v>
      </c>
      <c r="P13" s="64" t="s">
        <v>1438</v>
      </c>
    </row>
    <row r="14" spans="1:16" ht="18" x14ac:dyDescent="0.25">
      <c r="A14" s="95"/>
      <c r="B14" s="52" t="s">
        <v>1439</v>
      </c>
      <c r="C14" s="52" t="s">
        <v>72</v>
      </c>
      <c r="D14" s="50"/>
      <c r="E14" s="56">
        <f t="shared" si="0"/>
        <v>0</v>
      </c>
      <c r="F14" s="57">
        <f t="shared" si="1"/>
        <v>0</v>
      </c>
      <c r="G14" s="57">
        <f>D14 * 0.5515776</f>
        <v>0</v>
      </c>
      <c r="H14" s="57">
        <f t="shared" si="2"/>
        <v>0</v>
      </c>
      <c r="I14" s="52" t="s">
        <v>1436</v>
      </c>
      <c r="J14" s="52" t="s">
        <v>1437</v>
      </c>
      <c r="P14" s="64" t="s">
        <v>1440</v>
      </c>
    </row>
    <row r="15" spans="1:16" ht="18" x14ac:dyDescent="0.25">
      <c r="A15" s="95"/>
      <c r="B15" s="52" t="s">
        <v>1441</v>
      </c>
      <c r="C15" s="52" t="s">
        <v>72</v>
      </c>
      <c r="D15" s="50"/>
      <c r="E15" s="56">
        <f t="shared" si="0"/>
        <v>0</v>
      </c>
      <c r="F15" s="57">
        <f t="shared" si="1"/>
        <v>0</v>
      </c>
      <c r="G15" s="57">
        <f>D15 * 0.9805824</f>
        <v>0</v>
      </c>
      <c r="H15" s="57">
        <f t="shared" si="2"/>
        <v>0</v>
      </c>
      <c r="I15" s="52" t="s">
        <v>1436</v>
      </c>
      <c r="J15" s="52" t="s">
        <v>1437</v>
      </c>
      <c r="P15" s="64" t="s">
        <v>1442</v>
      </c>
    </row>
    <row r="16" spans="1:16" ht="18" x14ac:dyDescent="0.25">
      <c r="A16" s="95"/>
      <c r="B16" s="52" t="s">
        <v>1443</v>
      </c>
      <c r="C16" s="52" t="s">
        <v>72</v>
      </c>
      <c r="D16" s="50"/>
      <c r="E16" s="56">
        <f t="shared" si="0"/>
        <v>0</v>
      </c>
      <c r="F16" s="57">
        <f t="shared" si="1"/>
        <v>0</v>
      </c>
      <c r="G16" s="57">
        <f>D16 * 0.37997568</f>
        <v>0</v>
      </c>
      <c r="H16" s="57">
        <f t="shared" si="2"/>
        <v>0</v>
      </c>
      <c r="I16" s="52" t="s">
        <v>1436</v>
      </c>
      <c r="J16" s="52" t="s">
        <v>1437</v>
      </c>
      <c r="P16" s="64" t="s">
        <v>1444</v>
      </c>
    </row>
    <row r="17" spans="1:16" ht="18" x14ac:dyDescent="0.25">
      <c r="A17" s="95"/>
      <c r="B17" s="52" t="s">
        <v>1445</v>
      </c>
      <c r="C17" s="52" t="s">
        <v>72</v>
      </c>
      <c r="D17" s="50"/>
      <c r="E17" s="56">
        <f t="shared" si="0"/>
        <v>0</v>
      </c>
      <c r="F17" s="57">
        <f t="shared" si="1"/>
        <v>0</v>
      </c>
      <c r="G17" s="57">
        <f>D17 * 0.0612864</f>
        <v>0</v>
      </c>
      <c r="H17" s="57">
        <f t="shared" si="2"/>
        <v>0</v>
      </c>
      <c r="I17" s="52" t="s">
        <v>1436</v>
      </c>
      <c r="J17" s="52" t="s">
        <v>1437</v>
      </c>
      <c r="P17" s="64" t="s">
        <v>1446</v>
      </c>
    </row>
    <row r="18" spans="1:16" ht="18" x14ac:dyDescent="0.25">
      <c r="A18" s="95"/>
      <c r="B18" s="52" t="s">
        <v>1447</v>
      </c>
      <c r="C18" s="52" t="s">
        <v>72</v>
      </c>
      <c r="D18" s="50"/>
      <c r="E18" s="56">
        <f t="shared" si="0"/>
        <v>0</v>
      </c>
      <c r="F18" s="57">
        <f t="shared" si="1"/>
        <v>0</v>
      </c>
      <c r="G18" s="57">
        <f>D18 * 0.8580096</f>
        <v>0</v>
      </c>
      <c r="H18" s="57">
        <f t="shared" si="2"/>
        <v>0</v>
      </c>
      <c r="I18" s="52" t="s">
        <v>1436</v>
      </c>
      <c r="J18" s="52" t="s">
        <v>1437</v>
      </c>
      <c r="P18" s="64" t="s">
        <v>1448</v>
      </c>
    </row>
    <row r="19" spans="1:16" ht="18" x14ac:dyDescent="0.25">
      <c r="A19" s="95"/>
      <c r="B19" s="52" t="s">
        <v>1449</v>
      </c>
      <c r="C19" s="52" t="s">
        <v>72</v>
      </c>
      <c r="D19" s="50"/>
      <c r="E19" s="56">
        <f t="shared" si="0"/>
        <v>0</v>
      </c>
      <c r="F19" s="57">
        <f t="shared" si="1"/>
        <v>0</v>
      </c>
      <c r="G19" s="57">
        <f>D19 * 0.4902912</f>
        <v>0</v>
      </c>
      <c r="H19" s="57">
        <f t="shared" si="2"/>
        <v>0</v>
      </c>
      <c r="I19" s="52" t="s">
        <v>1436</v>
      </c>
      <c r="J19" s="52" t="s">
        <v>1437</v>
      </c>
      <c r="P19" s="64" t="s">
        <v>1450</v>
      </c>
    </row>
    <row r="20" spans="1:16" ht="18" x14ac:dyDescent="0.25">
      <c r="A20" s="95"/>
      <c r="B20" s="52" t="s">
        <v>1451</v>
      </c>
      <c r="C20" s="52" t="s">
        <v>72</v>
      </c>
      <c r="D20" s="50"/>
      <c r="E20" s="56">
        <f t="shared" si="0"/>
        <v>0</v>
      </c>
      <c r="F20" s="57">
        <f t="shared" si="1"/>
        <v>0</v>
      </c>
      <c r="G20" s="57">
        <f>D20 * 0.2451456</f>
        <v>0</v>
      </c>
      <c r="H20" s="57">
        <f t="shared" si="2"/>
        <v>0</v>
      </c>
      <c r="I20" s="52" t="s">
        <v>1436</v>
      </c>
      <c r="J20" s="52" t="s">
        <v>1437</v>
      </c>
      <c r="P20" s="64" t="s">
        <v>1452</v>
      </c>
    </row>
    <row r="21" spans="1:16" ht="18" x14ac:dyDescent="0.25">
      <c r="A21" s="95"/>
      <c r="B21" s="52" t="s">
        <v>1453</v>
      </c>
      <c r="C21" s="52" t="s">
        <v>72</v>
      </c>
      <c r="D21" s="50"/>
      <c r="E21" s="56">
        <f t="shared" si="0"/>
        <v>0</v>
      </c>
      <c r="F21" s="57">
        <f t="shared" si="1"/>
        <v>0</v>
      </c>
      <c r="G21" s="57">
        <f>D21 * 0.153216</f>
        <v>0</v>
      </c>
      <c r="H21" s="57">
        <f t="shared" si="2"/>
        <v>0</v>
      </c>
      <c r="I21" s="52" t="s">
        <v>1436</v>
      </c>
      <c r="J21" s="52" t="s">
        <v>1437</v>
      </c>
      <c r="P21" s="64" t="s">
        <v>1454</v>
      </c>
    </row>
    <row r="22" spans="1:16" ht="18" x14ac:dyDescent="0.25">
      <c r="A22" s="95"/>
      <c r="B22" s="52" t="s">
        <v>1455</v>
      </c>
      <c r="C22" s="52" t="s">
        <v>72</v>
      </c>
      <c r="D22" s="50"/>
      <c r="E22" s="56">
        <f t="shared" si="0"/>
        <v>0</v>
      </c>
      <c r="F22" s="57">
        <f t="shared" si="1"/>
        <v>0</v>
      </c>
      <c r="G22" s="57">
        <f>D22 * 0</f>
        <v>0</v>
      </c>
      <c r="H22" s="57">
        <f t="shared" si="2"/>
        <v>0</v>
      </c>
      <c r="I22" s="52" t="s">
        <v>1436</v>
      </c>
      <c r="J22" s="52" t="s">
        <v>1437</v>
      </c>
      <c r="P22" s="64" t="s">
        <v>1456</v>
      </c>
    </row>
    <row r="23" spans="1:16" ht="18" x14ac:dyDescent="0.25">
      <c r="A23" s="95" t="s">
        <v>1457</v>
      </c>
      <c r="B23" s="52" t="s">
        <v>1458</v>
      </c>
      <c r="C23" s="52" t="s">
        <v>72</v>
      </c>
      <c r="D23" s="50"/>
      <c r="E23" s="56">
        <f t="shared" si="0"/>
        <v>0</v>
      </c>
      <c r="F23" s="57">
        <f t="shared" si="1"/>
        <v>0</v>
      </c>
      <c r="G23" s="57">
        <f>D23 * 0.2317715551</f>
        <v>0</v>
      </c>
      <c r="H23" s="57">
        <f t="shared" si="2"/>
        <v>0</v>
      </c>
      <c r="I23" s="52" t="s">
        <v>1436</v>
      </c>
      <c r="J23" s="52" t="s">
        <v>1459</v>
      </c>
      <c r="P23" s="64" t="s">
        <v>1460</v>
      </c>
    </row>
    <row r="24" spans="1:16" ht="18" x14ac:dyDescent="0.25">
      <c r="A24" s="95"/>
      <c r="B24" s="52" t="s">
        <v>1461</v>
      </c>
      <c r="C24" s="52" t="s">
        <v>72</v>
      </c>
      <c r="D24" s="50"/>
      <c r="E24" s="56">
        <f t="shared" si="0"/>
        <v>0</v>
      </c>
      <c r="F24" s="57">
        <f t="shared" si="1"/>
        <v>0</v>
      </c>
      <c r="G24" s="57">
        <f>D24 * 0.6658154496</f>
        <v>0</v>
      </c>
      <c r="H24" s="57">
        <f t="shared" si="2"/>
        <v>0</v>
      </c>
      <c r="I24" s="52" t="s">
        <v>1436</v>
      </c>
      <c r="J24" s="52" t="s">
        <v>1459</v>
      </c>
      <c r="P24" s="64" t="s">
        <v>1462</v>
      </c>
    </row>
    <row r="25" spans="1:16" x14ac:dyDescent="0.25">
      <c r="D25" s="65" t="s">
        <v>116</v>
      </c>
      <c r="E25" s="56">
        <f>SUM(E13:E24)</f>
        <v>0</v>
      </c>
      <c r="F25" s="57">
        <f>SUM(F13:F24)</f>
        <v>0</v>
      </c>
      <c r="G25" s="57">
        <f>SUM(G13:G24)</f>
        <v>0</v>
      </c>
      <c r="H25" s="57">
        <f>SUM(H13:H24)</f>
        <v>0</v>
      </c>
    </row>
    <row r="27" spans="1:16" x14ac:dyDescent="0.25">
      <c r="A27" s="92" t="s">
        <v>1463</v>
      </c>
      <c r="B27" s="92"/>
      <c r="C27" s="92"/>
      <c r="D27" s="92"/>
      <c r="E27" s="92"/>
      <c r="F27" s="92"/>
      <c r="G27" s="92"/>
      <c r="H27" s="92"/>
      <c r="I27" s="92"/>
      <c r="J27" s="92"/>
    </row>
    <row r="28" spans="1:16" x14ac:dyDescent="0.25">
      <c r="A28" s="93" t="s">
        <v>60</v>
      </c>
      <c r="B28" s="93"/>
      <c r="C28" s="59" t="s">
        <v>61</v>
      </c>
      <c r="D28" s="60" t="s">
        <v>62</v>
      </c>
      <c r="E28" s="58" t="s">
        <v>63</v>
      </c>
      <c r="F28" s="58" t="s">
        <v>64</v>
      </c>
      <c r="G28" s="58" t="s">
        <v>65</v>
      </c>
      <c r="H28" s="58" t="s">
        <v>66</v>
      </c>
      <c r="I28" s="59" t="s">
        <v>240</v>
      </c>
      <c r="J28" s="59" t="s">
        <v>67</v>
      </c>
      <c r="P28" s="61" t="s">
        <v>68</v>
      </c>
    </row>
    <row r="29" spans="1:16" ht="18" x14ac:dyDescent="0.25">
      <c r="A29" s="95" t="s">
        <v>1434</v>
      </c>
      <c r="B29" s="52" t="s">
        <v>1435</v>
      </c>
      <c r="C29" s="52" t="s">
        <v>72</v>
      </c>
      <c r="D29" s="50"/>
      <c r="E29" s="56">
        <f t="shared" ref="E29:E40" si="3">F29 + G29 + H29</f>
        <v>0</v>
      </c>
      <c r="F29" s="57">
        <f t="shared" ref="F29:F40" si="4">D29 * 0</f>
        <v>0</v>
      </c>
      <c r="G29" s="57">
        <f>D29 * 2.10672</f>
        <v>0</v>
      </c>
      <c r="H29" s="57">
        <f t="shared" ref="H29:H40" si="5">D29 * 0</f>
        <v>0</v>
      </c>
      <c r="I29" s="52" t="s">
        <v>1436</v>
      </c>
      <c r="J29" s="52" t="s">
        <v>1437</v>
      </c>
      <c r="P29" s="64" t="s">
        <v>1464</v>
      </c>
    </row>
    <row r="30" spans="1:16" ht="18" x14ac:dyDescent="0.25">
      <c r="A30" s="95"/>
      <c r="B30" s="52" t="s">
        <v>1439</v>
      </c>
      <c r="C30" s="52" t="s">
        <v>72</v>
      </c>
      <c r="D30" s="50"/>
      <c r="E30" s="56">
        <f t="shared" si="3"/>
        <v>0</v>
      </c>
      <c r="F30" s="57">
        <f t="shared" si="4"/>
        <v>0</v>
      </c>
      <c r="G30" s="57">
        <f>D30 * 1.72368</f>
        <v>0</v>
      </c>
      <c r="H30" s="57">
        <f t="shared" si="5"/>
        <v>0</v>
      </c>
      <c r="I30" s="52" t="s">
        <v>1436</v>
      </c>
      <c r="J30" s="52" t="s">
        <v>1437</v>
      </c>
      <c r="P30" s="64" t="s">
        <v>1465</v>
      </c>
    </row>
    <row r="31" spans="1:16" ht="18" x14ac:dyDescent="0.25">
      <c r="A31" s="95"/>
      <c r="B31" s="52" t="s">
        <v>1441</v>
      </c>
      <c r="C31" s="52" t="s">
        <v>72</v>
      </c>
      <c r="D31" s="50"/>
      <c r="E31" s="56">
        <f t="shared" si="3"/>
        <v>0</v>
      </c>
      <c r="F31" s="57">
        <f t="shared" si="4"/>
        <v>0</v>
      </c>
      <c r="G31" s="57">
        <f>D31 * 3.06432</f>
        <v>0</v>
      </c>
      <c r="H31" s="57">
        <f t="shared" si="5"/>
        <v>0</v>
      </c>
      <c r="I31" s="52" t="s">
        <v>1436</v>
      </c>
      <c r="J31" s="52" t="s">
        <v>1437</v>
      </c>
      <c r="P31" s="64" t="s">
        <v>1466</v>
      </c>
    </row>
    <row r="32" spans="1:16" ht="18" x14ac:dyDescent="0.25">
      <c r="A32" s="95"/>
      <c r="B32" s="52" t="s">
        <v>1443</v>
      </c>
      <c r="C32" s="52" t="s">
        <v>72</v>
      </c>
      <c r="D32" s="50"/>
      <c r="E32" s="56">
        <f t="shared" si="3"/>
        <v>0</v>
      </c>
      <c r="F32" s="57">
        <f t="shared" si="4"/>
        <v>0</v>
      </c>
      <c r="G32" s="57">
        <f>D32 * 1.187424</f>
        <v>0</v>
      </c>
      <c r="H32" s="57">
        <f t="shared" si="5"/>
        <v>0</v>
      </c>
      <c r="I32" s="52" t="s">
        <v>1436</v>
      </c>
      <c r="J32" s="52" t="s">
        <v>1437</v>
      </c>
      <c r="P32" s="64" t="s">
        <v>1467</v>
      </c>
    </row>
    <row r="33" spans="1:16" ht="18" x14ac:dyDescent="0.25">
      <c r="A33" s="95"/>
      <c r="B33" s="52" t="s">
        <v>1445</v>
      </c>
      <c r="C33" s="52" t="s">
        <v>72</v>
      </c>
      <c r="D33" s="50"/>
      <c r="E33" s="56">
        <f t="shared" si="3"/>
        <v>0</v>
      </c>
      <c r="F33" s="57">
        <f t="shared" si="4"/>
        <v>0</v>
      </c>
      <c r="G33" s="57">
        <f>D33 * 0.19152</f>
        <v>0</v>
      </c>
      <c r="H33" s="57">
        <f t="shared" si="5"/>
        <v>0</v>
      </c>
      <c r="I33" s="52" t="s">
        <v>1436</v>
      </c>
      <c r="J33" s="52" t="s">
        <v>1437</v>
      </c>
      <c r="P33" s="64" t="s">
        <v>1468</v>
      </c>
    </row>
    <row r="34" spans="1:16" ht="18" x14ac:dyDescent="0.25">
      <c r="A34" s="95"/>
      <c r="B34" s="52" t="s">
        <v>1447</v>
      </c>
      <c r="C34" s="52" t="s">
        <v>72</v>
      </c>
      <c r="D34" s="50"/>
      <c r="E34" s="56">
        <f t="shared" si="3"/>
        <v>0</v>
      </c>
      <c r="F34" s="57">
        <f t="shared" si="4"/>
        <v>0</v>
      </c>
      <c r="G34" s="57">
        <f>D34 * 2.68128</f>
        <v>0</v>
      </c>
      <c r="H34" s="57">
        <f t="shared" si="5"/>
        <v>0</v>
      </c>
      <c r="I34" s="52" t="s">
        <v>1436</v>
      </c>
      <c r="J34" s="52" t="s">
        <v>1437</v>
      </c>
      <c r="P34" s="64" t="s">
        <v>1469</v>
      </c>
    </row>
    <row r="35" spans="1:16" ht="18" x14ac:dyDescent="0.25">
      <c r="A35" s="95"/>
      <c r="B35" s="52" t="s">
        <v>1449</v>
      </c>
      <c r="C35" s="52" t="s">
        <v>72</v>
      </c>
      <c r="D35" s="50"/>
      <c r="E35" s="56">
        <f t="shared" si="3"/>
        <v>0</v>
      </c>
      <c r="F35" s="57">
        <f t="shared" si="4"/>
        <v>0</v>
      </c>
      <c r="G35" s="57">
        <f>D35 * 1.53216</f>
        <v>0</v>
      </c>
      <c r="H35" s="57">
        <f t="shared" si="5"/>
        <v>0</v>
      </c>
      <c r="I35" s="52" t="s">
        <v>1436</v>
      </c>
      <c r="J35" s="52" t="s">
        <v>1437</v>
      </c>
      <c r="P35" s="64" t="s">
        <v>1470</v>
      </c>
    </row>
    <row r="36" spans="1:16" ht="18" x14ac:dyDescent="0.25">
      <c r="A36" s="95"/>
      <c r="B36" s="52" t="s">
        <v>1451</v>
      </c>
      <c r="C36" s="52" t="s">
        <v>72</v>
      </c>
      <c r="D36" s="50"/>
      <c r="E36" s="56">
        <f t="shared" si="3"/>
        <v>0</v>
      </c>
      <c r="F36" s="57">
        <f t="shared" si="4"/>
        <v>0</v>
      </c>
      <c r="G36" s="57">
        <f>D36 * 0.76608</f>
        <v>0</v>
      </c>
      <c r="H36" s="57">
        <f t="shared" si="5"/>
        <v>0</v>
      </c>
      <c r="I36" s="52" t="s">
        <v>1436</v>
      </c>
      <c r="J36" s="52" t="s">
        <v>1437</v>
      </c>
      <c r="P36" s="64" t="s">
        <v>1471</v>
      </c>
    </row>
    <row r="37" spans="1:16" ht="18" x14ac:dyDescent="0.25">
      <c r="A37" s="95"/>
      <c r="B37" s="52" t="s">
        <v>1453</v>
      </c>
      <c r="C37" s="52" t="s">
        <v>72</v>
      </c>
      <c r="D37" s="50"/>
      <c r="E37" s="56">
        <f t="shared" si="3"/>
        <v>0</v>
      </c>
      <c r="F37" s="57">
        <f t="shared" si="4"/>
        <v>0</v>
      </c>
      <c r="G37" s="57">
        <f>D37 * 0.4788</f>
        <v>0</v>
      </c>
      <c r="H37" s="57">
        <f t="shared" si="5"/>
        <v>0</v>
      </c>
      <c r="I37" s="52" t="s">
        <v>1436</v>
      </c>
      <c r="J37" s="52" t="s">
        <v>1437</v>
      </c>
      <c r="P37" s="64" t="s">
        <v>1472</v>
      </c>
    </row>
    <row r="38" spans="1:16" ht="18" x14ac:dyDescent="0.25">
      <c r="A38" s="95"/>
      <c r="B38" s="52" t="s">
        <v>1455</v>
      </c>
      <c r="C38" s="52" t="s">
        <v>72</v>
      </c>
      <c r="D38" s="50"/>
      <c r="E38" s="56">
        <f t="shared" si="3"/>
        <v>0</v>
      </c>
      <c r="F38" s="57">
        <f t="shared" si="4"/>
        <v>0</v>
      </c>
      <c r="G38" s="57">
        <f>D38 * 0</f>
        <v>0</v>
      </c>
      <c r="H38" s="57">
        <f t="shared" si="5"/>
        <v>0</v>
      </c>
      <c r="I38" s="52" t="s">
        <v>1436</v>
      </c>
      <c r="J38" s="52" t="s">
        <v>1437</v>
      </c>
      <c r="P38" s="64" t="s">
        <v>1473</v>
      </c>
    </row>
    <row r="39" spans="1:16" ht="18" x14ac:dyDescent="0.25">
      <c r="A39" s="95" t="s">
        <v>1457</v>
      </c>
      <c r="B39" s="52" t="s">
        <v>1458</v>
      </c>
      <c r="C39" s="52" t="s">
        <v>72</v>
      </c>
      <c r="D39" s="50"/>
      <c r="E39" s="56">
        <f t="shared" si="3"/>
        <v>0</v>
      </c>
      <c r="F39" s="57">
        <f t="shared" si="4"/>
        <v>0</v>
      </c>
      <c r="G39" s="57">
        <f>D39 * 0.7242861097</f>
        <v>0</v>
      </c>
      <c r="H39" s="57">
        <f t="shared" si="5"/>
        <v>0</v>
      </c>
      <c r="I39" s="52" t="s">
        <v>1436</v>
      </c>
      <c r="J39" s="52" t="s">
        <v>1459</v>
      </c>
      <c r="P39" s="64" t="s">
        <v>1474</v>
      </c>
    </row>
    <row r="40" spans="1:16" ht="18" x14ac:dyDescent="0.25">
      <c r="A40" s="95"/>
      <c r="B40" s="52" t="s">
        <v>1461</v>
      </c>
      <c r="C40" s="52" t="s">
        <v>72</v>
      </c>
      <c r="D40" s="50"/>
      <c r="E40" s="56">
        <f t="shared" si="3"/>
        <v>0</v>
      </c>
      <c r="F40" s="57">
        <f t="shared" si="4"/>
        <v>0</v>
      </c>
      <c r="G40" s="57">
        <f>D40 * 2.08067328</f>
        <v>0</v>
      </c>
      <c r="H40" s="57">
        <f t="shared" si="5"/>
        <v>0</v>
      </c>
      <c r="I40" s="52" t="s">
        <v>1436</v>
      </c>
      <c r="J40" s="52" t="s">
        <v>1459</v>
      </c>
      <c r="P40" s="64" t="s">
        <v>1475</v>
      </c>
    </row>
    <row r="41" spans="1:16" x14ac:dyDescent="0.25">
      <c r="D41" s="65" t="s">
        <v>116</v>
      </c>
      <c r="E41" s="56">
        <f>SUM(E29:E40)</f>
        <v>0</v>
      </c>
      <c r="F41" s="57">
        <f>SUM(F29:F40)</f>
        <v>0</v>
      </c>
      <c r="G41" s="57">
        <f>SUM(G29:G40)</f>
        <v>0</v>
      </c>
      <c r="H41" s="57">
        <f>SUM(H29:H40)</f>
        <v>0</v>
      </c>
    </row>
    <row r="43" spans="1:16" x14ac:dyDescent="0.25">
      <c r="A43" s="92" t="s">
        <v>1476</v>
      </c>
      <c r="B43" s="92"/>
      <c r="C43" s="92"/>
      <c r="D43" s="92"/>
      <c r="E43" s="92"/>
      <c r="F43" s="92"/>
      <c r="G43" s="92"/>
      <c r="H43" s="92"/>
      <c r="I43" s="92"/>
      <c r="J43" s="92"/>
    </row>
    <row r="44" spans="1:16" x14ac:dyDescent="0.25">
      <c r="A44" s="93" t="s">
        <v>60</v>
      </c>
      <c r="B44" s="93"/>
      <c r="C44" s="59" t="s">
        <v>61</v>
      </c>
      <c r="D44" s="60" t="s">
        <v>62</v>
      </c>
      <c r="E44" s="58" t="s">
        <v>63</v>
      </c>
      <c r="F44" s="58" t="s">
        <v>64</v>
      </c>
      <c r="G44" s="58" t="s">
        <v>65</v>
      </c>
      <c r="H44" s="58" t="s">
        <v>66</v>
      </c>
      <c r="I44" s="59" t="s">
        <v>240</v>
      </c>
      <c r="J44" s="59" t="s">
        <v>67</v>
      </c>
      <c r="P44" s="61" t="s">
        <v>68</v>
      </c>
    </row>
    <row r="45" spans="1:16" x14ac:dyDescent="0.25">
      <c r="A45" s="95" t="s">
        <v>1477</v>
      </c>
      <c r="B45" s="52" t="s">
        <v>1478</v>
      </c>
      <c r="C45" s="52" t="s">
        <v>72</v>
      </c>
      <c r="D45" s="50"/>
      <c r="E45" s="56">
        <f>F45 + G45 + H45</f>
        <v>0</v>
      </c>
      <c r="F45" s="57">
        <f>D45 * 0</f>
        <v>0</v>
      </c>
      <c r="G45" s="57">
        <f>D45 * 0.112</f>
        <v>0</v>
      </c>
      <c r="H45" s="57">
        <f>D45 * 0.0636</f>
        <v>0</v>
      </c>
      <c r="I45" s="52" t="s">
        <v>1479</v>
      </c>
      <c r="J45" s="52" t="s">
        <v>1480</v>
      </c>
      <c r="P45" s="64" t="s">
        <v>1481</v>
      </c>
    </row>
    <row r="46" spans="1:16" x14ac:dyDescent="0.25">
      <c r="A46" s="95"/>
      <c r="B46" s="52" t="s">
        <v>1482</v>
      </c>
      <c r="C46" s="52" t="s">
        <v>1483</v>
      </c>
      <c r="D46" s="50"/>
      <c r="E46" s="56">
        <f>F46 + G46 + H46</f>
        <v>0</v>
      </c>
      <c r="F46" s="57">
        <f>D46 * 0</f>
        <v>0</v>
      </c>
      <c r="G46" s="57">
        <f>D46 * 0.0224</f>
        <v>0</v>
      </c>
      <c r="H46" s="57">
        <f>D46 * 0</f>
        <v>0</v>
      </c>
      <c r="I46" s="52" t="s">
        <v>1479</v>
      </c>
      <c r="J46" s="52" t="s">
        <v>1484</v>
      </c>
      <c r="P46" s="64" t="s">
        <v>1485</v>
      </c>
    </row>
    <row r="47" spans="1:16" x14ac:dyDescent="0.25">
      <c r="D47" s="65" t="s">
        <v>116</v>
      </c>
      <c r="E47" s="56">
        <f>SUM(E45:E46)</f>
        <v>0</v>
      </c>
      <c r="F47" s="57">
        <f>SUM(F45:F46)</f>
        <v>0</v>
      </c>
      <c r="G47" s="57">
        <f>SUM(G45:G46)</f>
        <v>0</v>
      </c>
      <c r="H47" s="57">
        <f>SUM(H45:H46)</f>
        <v>0</v>
      </c>
    </row>
    <row r="49" spans="1:16" x14ac:dyDescent="0.25">
      <c r="A49" s="92" t="s">
        <v>1486</v>
      </c>
      <c r="B49" s="92"/>
      <c r="C49" s="92"/>
      <c r="D49" s="92"/>
      <c r="E49" s="92"/>
      <c r="F49" s="92"/>
      <c r="G49" s="92"/>
      <c r="H49" s="92"/>
      <c r="I49" s="92"/>
      <c r="J49" s="92"/>
    </row>
    <row r="50" spans="1:16" x14ac:dyDescent="0.25">
      <c r="A50" s="93" t="s">
        <v>60</v>
      </c>
      <c r="B50" s="93"/>
      <c r="C50" s="59" t="s">
        <v>61</v>
      </c>
      <c r="D50" s="60" t="s">
        <v>62</v>
      </c>
      <c r="E50" s="58" t="s">
        <v>63</v>
      </c>
      <c r="F50" s="58" t="s">
        <v>64</v>
      </c>
      <c r="G50" s="58" t="s">
        <v>65</v>
      </c>
      <c r="H50" s="58" t="s">
        <v>66</v>
      </c>
      <c r="I50" s="59" t="s">
        <v>240</v>
      </c>
      <c r="J50" s="59" t="s">
        <v>67</v>
      </c>
      <c r="P50" s="61" t="s">
        <v>68</v>
      </c>
    </row>
    <row r="51" spans="1:16" ht="18" x14ac:dyDescent="0.25">
      <c r="A51" s="95" t="s">
        <v>1434</v>
      </c>
      <c r="B51" s="52" t="s">
        <v>1487</v>
      </c>
      <c r="C51" s="52" t="s">
        <v>72</v>
      </c>
      <c r="D51" s="50"/>
      <c r="E51" s="56">
        <f t="shared" ref="E51:E59" si="6">F51 + G51 + H51</f>
        <v>0</v>
      </c>
      <c r="F51" s="57">
        <f t="shared" ref="F51:F59" si="7">D51 * 0</f>
        <v>0</v>
      </c>
      <c r="G51" s="57">
        <f>D51 * 0.196</f>
        <v>0</v>
      </c>
      <c r="H51" s="57">
        <f t="shared" ref="H51:H59" si="8">D51 * 0</f>
        <v>0</v>
      </c>
      <c r="I51" s="52" t="s">
        <v>1436</v>
      </c>
      <c r="J51" s="52" t="s">
        <v>1484</v>
      </c>
      <c r="P51" s="64" t="s">
        <v>1488</v>
      </c>
    </row>
    <row r="52" spans="1:16" ht="18" x14ac:dyDescent="0.25">
      <c r="A52" s="95"/>
      <c r="B52" s="52" t="s">
        <v>1489</v>
      </c>
      <c r="C52" s="52" t="s">
        <v>72</v>
      </c>
      <c r="D52" s="50"/>
      <c r="E52" s="56">
        <f t="shared" si="6"/>
        <v>0</v>
      </c>
      <c r="F52" s="57">
        <f t="shared" si="7"/>
        <v>0</v>
      </c>
      <c r="G52" s="57">
        <f>D52 * 0.1568</f>
        <v>0</v>
      </c>
      <c r="H52" s="57">
        <f t="shared" si="8"/>
        <v>0</v>
      </c>
      <c r="I52" s="52" t="s">
        <v>1436</v>
      </c>
      <c r="J52" s="52" t="s">
        <v>1484</v>
      </c>
      <c r="P52" s="64" t="s">
        <v>1490</v>
      </c>
    </row>
    <row r="53" spans="1:16" ht="18" x14ac:dyDescent="0.25">
      <c r="A53" s="95"/>
      <c r="B53" s="52" t="s">
        <v>1491</v>
      </c>
      <c r="C53" s="52" t="s">
        <v>72</v>
      </c>
      <c r="D53" s="50"/>
      <c r="E53" s="56">
        <f t="shared" si="6"/>
        <v>0</v>
      </c>
      <c r="F53" s="57">
        <f t="shared" si="7"/>
        <v>0</v>
      </c>
      <c r="G53" s="57">
        <f>D53 * 1.0976</f>
        <v>0</v>
      </c>
      <c r="H53" s="57">
        <f t="shared" si="8"/>
        <v>0</v>
      </c>
      <c r="I53" s="52" t="s">
        <v>1436</v>
      </c>
      <c r="J53" s="52" t="s">
        <v>1484</v>
      </c>
      <c r="P53" s="64" t="s">
        <v>1492</v>
      </c>
    </row>
    <row r="54" spans="1:16" ht="18" x14ac:dyDescent="0.25">
      <c r="A54" s="95"/>
      <c r="B54" s="52" t="s">
        <v>1493</v>
      </c>
      <c r="C54" s="52" t="s">
        <v>72</v>
      </c>
      <c r="D54" s="50"/>
      <c r="E54" s="56">
        <f t="shared" si="6"/>
        <v>0</v>
      </c>
      <c r="F54" s="57">
        <f t="shared" si="7"/>
        <v>0</v>
      </c>
      <c r="G54" s="57">
        <f>D54 * 0.588</f>
        <v>0</v>
      </c>
      <c r="H54" s="57">
        <f t="shared" si="8"/>
        <v>0</v>
      </c>
      <c r="I54" s="52" t="s">
        <v>1436</v>
      </c>
      <c r="J54" s="52" t="s">
        <v>1484</v>
      </c>
      <c r="P54" s="64" t="s">
        <v>1494</v>
      </c>
    </row>
    <row r="55" spans="1:16" ht="18" x14ac:dyDescent="0.25">
      <c r="A55" s="95"/>
      <c r="B55" s="52" t="s">
        <v>1495</v>
      </c>
      <c r="C55" s="52" t="s">
        <v>72</v>
      </c>
      <c r="D55" s="50"/>
      <c r="E55" s="56">
        <f t="shared" si="6"/>
        <v>0</v>
      </c>
      <c r="F55" s="57">
        <f t="shared" si="7"/>
        <v>0</v>
      </c>
      <c r="G55" s="57">
        <f>D55 * 0.784</f>
        <v>0</v>
      </c>
      <c r="H55" s="57">
        <f t="shared" si="8"/>
        <v>0</v>
      </c>
      <c r="I55" s="52" t="s">
        <v>1436</v>
      </c>
      <c r="J55" s="52" t="s">
        <v>1484</v>
      </c>
      <c r="P55" s="64" t="s">
        <v>1496</v>
      </c>
    </row>
    <row r="56" spans="1:16" ht="18" x14ac:dyDescent="0.25">
      <c r="A56" s="95"/>
      <c r="B56" s="52" t="s">
        <v>1497</v>
      </c>
      <c r="C56" s="52" t="s">
        <v>72</v>
      </c>
      <c r="D56" s="50"/>
      <c r="E56" s="56">
        <f t="shared" si="6"/>
        <v>0</v>
      </c>
      <c r="F56" s="57">
        <f t="shared" si="7"/>
        <v>0</v>
      </c>
      <c r="G56" s="57">
        <f>D56 * 0.588</f>
        <v>0</v>
      </c>
      <c r="H56" s="57">
        <f t="shared" si="8"/>
        <v>0</v>
      </c>
      <c r="I56" s="52" t="s">
        <v>1436</v>
      </c>
      <c r="J56" s="52" t="s">
        <v>1484</v>
      </c>
      <c r="P56" s="64" t="s">
        <v>1498</v>
      </c>
    </row>
    <row r="57" spans="1:16" ht="18" x14ac:dyDescent="0.25">
      <c r="A57" s="95"/>
      <c r="B57" s="52" t="s">
        <v>1499</v>
      </c>
      <c r="C57" s="52" t="s">
        <v>72</v>
      </c>
      <c r="D57" s="50"/>
      <c r="E57" s="56">
        <f>F57 + G57 + H57</f>
        <v>0</v>
      </c>
      <c r="F57" s="57">
        <f t="shared" si="7"/>
        <v>0</v>
      </c>
      <c r="G57" s="57">
        <f>D57 * 1.3328</f>
        <v>0</v>
      </c>
      <c r="H57" s="57">
        <f t="shared" si="8"/>
        <v>0</v>
      </c>
      <c r="I57" s="52" t="s">
        <v>1436</v>
      </c>
      <c r="J57" s="52" t="s">
        <v>1484</v>
      </c>
      <c r="P57" s="64" t="s">
        <v>1500</v>
      </c>
    </row>
    <row r="58" spans="1:16" ht="18" x14ac:dyDescent="0.25">
      <c r="A58" s="95"/>
      <c r="B58" s="52" t="s">
        <v>1501</v>
      </c>
      <c r="C58" s="52" t="s">
        <v>72</v>
      </c>
      <c r="D58" s="53"/>
      <c r="E58" s="56">
        <f t="shared" si="6"/>
        <v>0</v>
      </c>
      <c r="F58" s="57">
        <f t="shared" si="7"/>
        <v>0</v>
      </c>
      <c r="G58" s="57">
        <f>D58 * 0</f>
        <v>0</v>
      </c>
      <c r="H58" s="57">
        <f t="shared" si="8"/>
        <v>0</v>
      </c>
      <c r="I58" s="52" t="s">
        <v>1436</v>
      </c>
      <c r="J58" s="52" t="s">
        <v>1484</v>
      </c>
      <c r="P58" s="64" t="s">
        <v>1502</v>
      </c>
    </row>
    <row r="59" spans="1:16" ht="18" x14ac:dyDescent="0.25">
      <c r="A59" s="95"/>
      <c r="B59" s="52" t="s">
        <v>1503</v>
      </c>
      <c r="C59" s="52" t="s">
        <v>72</v>
      </c>
      <c r="D59" s="50"/>
      <c r="E59" s="56">
        <f t="shared" si="6"/>
        <v>0</v>
      </c>
      <c r="F59" s="57">
        <f t="shared" si="7"/>
        <v>0</v>
      </c>
      <c r="G59" s="57">
        <f>D59 * 0.1970394997</f>
        <v>0</v>
      </c>
      <c r="H59" s="57">
        <f t="shared" si="8"/>
        <v>0</v>
      </c>
      <c r="I59" s="52" t="s">
        <v>1436</v>
      </c>
      <c r="J59" s="52" t="s">
        <v>1484</v>
      </c>
      <c r="P59" s="64" t="s">
        <v>1504</v>
      </c>
    </row>
    <row r="60" spans="1:16" x14ac:dyDescent="0.25">
      <c r="D60" s="65" t="s">
        <v>116</v>
      </c>
      <c r="E60" s="56">
        <f>SUM(E51:E59)</f>
        <v>0</v>
      </c>
      <c r="F60" s="57">
        <f>SUM(F51:F59)</f>
        <v>0</v>
      </c>
      <c r="G60" s="57">
        <f>SUM(G51:G59)</f>
        <v>0</v>
      </c>
      <c r="H60" s="57">
        <f>SUM(H51:H59)</f>
        <v>0</v>
      </c>
    </row>
  </sheetData>
  <mergeCells count="20">
    <mergeCell ref="A1:J1"/>
    <mergeCell ref="A2:J2"/>
    <mergeCell ref="A4:J4"/>
    <mergeCell ref="A5:J5"/>
    <mergeCell ref="A6:J6"/>
    <mergeCell ref="A45:A46"/>
    <mergeCell ref="A49:J49"/>
    <mergeCell ref="A50:B50"/>
    <mergeCell ref="A51:A59"/>
    <mergeCell ref="A8:D9"/>
    <mergeCell ref="A28:B28"/>
    <mergeCell ref="A29:A38"/>
    <mergeCell ref="A39:A40"/>
    <mergeCell ref="A43:J43"/>
    <mergeCell ref="A44:B44"/>
    <mergeCell ref="A11:J11"/>
    <mergeCell ref="A12:B12"/>
    <mergeCell ref="A13:A22"/>
    <mergeCell ref="A23:A24"/>
    <mergeCell ref="A27:J27"/>
  </mergeCells>
  <pageMargins left="0.7" right="0.7" top="0.75" bottom="0.75" header="0.3" footer="0.3"/>
  <pageSetup paperSize="9" orientation="portrait" horizontalDpi="300" verticalDpi="300"/>
  <headerFooter>
    <oddHeader>&amp;C&amp;"Calibri"&amp;9&amp;K000000 [IN-CONFIDENCE]&amp;1#_x000D_</oddHeader>
    <oddFooter>&amp;C_x000D_&amp;1#&amp;"Calibri"&amp;9&amp;K000000 [IN-CONFIDENCE]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97"/>
  <sheetViews>
    <sheetView workbookViewId="0">
      <selection sqref="A1:J1"/>
    </sheetView>
  </sheetViews>
  <sheetFormatPr defaultColWidth="11.42578125" defaultRowHeight="15" x14ac:dyDescent="0.25"/>
  <cols>
    <col min="1" max="1" width="50.7109375" customWidth="1"/>
    <col min="2" max="2" width="70.140625" customWidth="1"/>
    <col min="3" max="8" width="17.7109375" customWidth="1"/>
    <col min="9" max="9" width="148.7109375" customWidth="1"/>
    <col min="10" max="10" width="25.7109375" customWidth="1"/>
  </cols>
  <sheetData>
    <row r="1" spans="1:16" ht="31.5" x14ac:dyDescent="0.25">
      <c r="A1" s="98" t="s">
        <v>46</v>
      </c>
      <c r="B1" s="97"/>
      <c r="C1" s="97"/>
      <c r="D1" s="97"/>
      <c r="E1" s="97"/>
      <c r="F1" s="97"/>
      <c r="G1" s="97"/>
      <c r="H1" s="97"/>
      <c r="I1" s="97"/>
      <c r="J1" s="97"/>
    </row>
    <row r="2" spans="1:16" ht="23.25" x14ac:dyDescent="0.25">
      <c r="A2" s="99" t="s">
        <v>47</v>
      </c>
      <c r="B2" s="97"/>
      <c r="C2" s="97"/>
      <c r="D2" s="97"/>
      <c r="E2" s="97"/>
      <c r="F2" s="97"/>
      <c r="G2" s="97"/>
      <c r="H2" s="97"/>
      <c r="I2" s="97"/>
      <c r="J2" s="97"/>
    </row>
    <row r="4" spans="1:16" ht="31.5" x14ac:dyDescent="0.25">
      <c r="A4" s="98" t="s">
        <v>1505</v>
      </c>
      <c r="B4" s="97"/>
      <c r="C4" s="97"/>
      <c r="D4" s="97"/>
      <c r="E4" s="97"/>
      <c r="F4" s="97"/>
      <c r="G4" s="97"/>
      <c r="H4" s="97"/>
      <c r="I4" s="97"/>
      <c r="J4" s="97"/>
    </row>
    <row r="5" spans="1:16" x14ac:dyDescent="0.25">
      <c r="A5" s="100" t="s">
        <v>49</v>
      </c>
      <c r="B5" s="97"/>
      <c r="C5" s="97"/>
      <c r="D5" s="97"/>
      <c r="E5" s="97"/>
      <c r="F5" s="97"/>
      <c r="G5" s="97"/>
      <c r="H5" s="97"/>
      <c r="I5" s="97"/>
      <c r="J5" s="97"/>
    </row>
    <row r="6" spans="1:16" ht="66" customHeight="1" x14ac:dyDescent="0.25">
      <c r="A6" s="101" t="s">
        <v>1506</v>
      </c>
      <c r="B6" s="97"/>
      <c r="C6" s="97"/>
      <c r="D6" s="97"/>
      <c r="E6" s="97"/>
      <c r="F6" s="97"/>
      <c r="G6" s="97"/>
      <c r="H6" s="97"/>
      <c r="I6" s="97"/>
      <c r="J6" s="97"/>
    </row>
    <row r="8" spans="1:16" x14ac:dyDescent="0.25">
      <c r="A8" s="96" t="s">
        <v>51</v>
      </c>
      <c r="B8" s="97"/>
      <c r="C8" s="97"/>
      <c r="D8" s="97"/>
      <c r="E8" s="58" t="s">
        <v>52</v>
      </c>
      <c r="F8" s="58" t="s">
        <v>53</v>
      </c>
      <c r="G8" s="58" t="s">
        <v>54</v>
      </c>
      <c r="H8" s="58" t="s">
        <v>55</v>
      </c>
    </row>
    <row r="9" spans="1:16" x14ac:dyDescent="0.25">
      <c r="A9" s="96" t="s">
        <v>1507</v>
      </c>
      <c r="B9" s="97"/>
      <c r="C9" s="97"/>
      <c r="D9" s="97"/>
      <c r="E9" s="56">
        <f>E97</f>
        <v>0</v>
      </c>
      <c r="F9" s="57">
        <f>F97</f>
        <v>0</v>
      </c>
      <c r="G9" s="57">
        <f>G97</f>
        <v>0</v>
      </c>
      <c r="H9" s="57">
        <f>H97</f>
        <v>0</v>
      </c>
    </row>
    <row r="10" spans="1:16" x14ac:dyDescent="0.25">
      <c r="A10" s="96" t="s">
        <v>1508</v>
      </c>
      <c r="B10" s="97"/>
      <c r="C10" s="97"/>
      <c r="D10" s="97"/>
      <c r="E10" s="56">
        <f>E58</f>
        <v>0</v>
      </c>
      <c r="F10" s="57">
        <f>F58</f>
        <v>0</v>
      </c>
    </row>
    <row r="11" spans="1:16" x14ac:dyDescent="0.25">
      <c r="A11" s="96" t="s">
        <v>1509</v>
      </c>
      <c r="B11" s="97"/>
      <c r="C11" s="97"/>
      <c r="D11" s="97"/>
      <c r="E11" s="56">
        <f>E28</f>
        <v>0</v>
      </c>
      <c r="F11" s="57">
        <f>E28</f>
        <v>0</v>
      </c>
    </row>
    <row r="14" spans="1:16" x14ac:dyDescent="0.25">
      <c r="A14" s="92" t="s">
        <v>1510</v>
      </c>
      <c r="B14" s="92"/>
      <c r="C14" s="92"/>
      <c r="D14" s="92"/>
      <c r="E14" s="92"/>
      <c r="F14" s="92"/>
      <c r="G14" s="92"/>
    </row>
    <row r="15" spans="1:16" x14ac:dyDescent="0.25">
      <c r="A15" s="93" t="s">
        <v>1511</v>
      </c>
      <c r="B15" s="93"/>
      <c r="C15" s="59" t="s">
        <v>61</v>
      </c>
      <c r="D15" s="60" t="s">
        <v>62</v>
      </c>
      <c r="E15" s="58" t="s">
        <v>63</v>
      </c>
      <c r="F15" s="59" t="s">
        <v>240</v>
      </c>
      <c r="G15" s="59" t="s">
        <v>67</v>
      </c>
      <c r="P15" s="61" t="s">
        <v>68</v>
      </c>
    </row>
    <row r="16" spans="1:16" x14ac:dyDescent="0.25">
      <c r="A16" s="95" t="s">
        <v>1512</v>
      </c>
      <c r="B16" s="52" t="s">
        <v>1513</v>
      </c>
      <c r="C16" s="52" t="s">
        <v>1514</v>
      </c>
      <c r="D16" s="50"/>
      <c r="E16" s="56">
        <f>D16 * -35219.8690824545</f>
        <v>0</v>
      </c>
      <c r="F16" s="52" t="s">
        <v>1515</v>
      </c>
      <c r="G16" s="52" t="s">
        <v>1516</v>
      </c>
      <c r="P16" s="64" t="s">
        <v>1517</v>
      </c>
    </row>
    <row r="17" spans="1:16" x14ac:dyDescent="0.25">
      <c r="A17" s="95"/>
      <c r="B17" s="52" t="s">
        <v>1518</v>
      </c>
      <c r="C17" s="52" t="s">
        <v>1514</v>
      </c>
      <c r="D17" s="50"/>
      <c r="E17" s="56">
        <f>D17 * -36609.0341727562</f>
        <v>0</v>
      </c>
      <c r="F17" s="52" t="s">
        <v>1515</v>
      </c>
      <c r="G17" s="52" t="s">
        <v>1519</v>
      </c>
      <c r="P17" s="64" t="s">
        <v>1520</v>
      </c>
    </row>
    <row r="18" spans="1:16" x14ac:dyDescent="0.25">
      <c r="A18" s="95"/>
      <c r="B18" s="52" t="s">
        <v>1521</v>
      </c>
      <c r="C18" s="52" t="s">
        <v>1514</v>
      </c>
      <c r="D18" s="50"/>
      <c r="E18" s="56">
        <f>D18 * -29956.3359512881</f>
        <v>0</v>
      </c>
      <c r="F18" s="52" t="s">
        <v>1515</v>
      </c>
      <c r="G18" s="52" t="s">
        <v>1522</v>
      </c>
      <c r="P18" s="64" t="s">
        <v>1523</v>
      </c>
    </row>
    <row r="19" spans="1:16" x14ac:dyDescent="0.25">
      <c r="A19" s="95"/>
      <c r="B19" s="52" t="s">
        <v>1524</v>
      </c>
      <c r="C19" s="52" t="s">
        <v>1514</v>
      </c>
      <c r="D19" s="50"/>
      <c r="E19" s="56">
        <f>D19 * -18669.0394938735</f>
        <v>0</v>
      </c>
      <c r="F19" s="52" t="s">
        <v>1515</v>
      </c>
      <c r="G19" s="52" t="s">
        <v>1525</v>
      </c>
      <c r="P19" s="64" t="s">
        <v>1526</v>
      </c>
    </row>
    <row r="20" spans="1:16" x14ac:dyDescent="0.25">
      <c r="A20" s="95" t="s">
        <v>1527</v>
      </c>
      <c r="B20" s="52" t="s">
        <v>1528</v>
      </c>
      <c r="C20" s="52" t="s">
        <v>1514</v>
      </c>
      <c r="D20" s="50"/>
      <c r="E20" s="56">
        <f>D20 * -35219.8690824545</f>
        <v>0</v>
      </c>
      <c r="F20" s="52" t="s">
        <v>1515</v>
      </c>
      <c r="G20" s="52" t="s">
        <v>1516</v>
      </c>
      <c r="P20" s="64" t="s">
        <v>1529</v>
      </c>
    </row>
    <row r="21" spans="1:16" x14ac:dyDescent="0.25">
      <c r="A21" s="95"/>
      <c r="B21" s="52" t="s">
        <v>1530</v>
      </c>
      <c r="C21" s="52" t="s">
        <v>1514</v>
      </c>
      <c r="D21" s="50"/>
      <c r="E21" s="56">
        <f>D21 * -36609.0341727562</f>
        <v>0</v>
      </c>
      <c r="F21" s="52" t="s">
        <v>1515</v>
      </c>
      <c r="G21" s="52" t="s">
        <v>1519</v>
      </c>
      <c r="P21" s="64" t="s">
        <v>1531</v>
      </c>
    </row>
    <row r="22" spans="1:16" x14ac:dyDescent="0.25">
      <c r="A22" s="95"/>
      <c r="B22" s="52" t="s">
        <v>1532</v>
      </c>
      <c r="C22" s="52" t="s">
        <v>1514</v>
      </c>
      <c r="D22" s="50"/>
      <c r="E22" s="56">
        <f>D22 * -29956.3359512881</f>
        <v>0</v>
      </c>
      <c r="F22" s="52" t="s">
        <v>1515</v>
      </c>
      <c r="G22" s="52" t="s">
        <v>1522</v>
      </c>
      <c r="P22" s="64" t="s">
        <v>1533</v>
      </c>
    </row>
    <row r="23" spans="1:16" x14ac:dyDescent="0.25">
      <c r="A23" s="95"/>
      <c r="B23" s="52" t="s">
        <v>1534</v>
      </c>
      <c r="C23" s="52" t="s">
        <v>1514</v>
      </c>
      <c r="D23" s="50"/>
      <c r="E23" s="56">
        <f>D23 * -18669.0394938735</f>
        <v>0</v>
      </c>
      <c r="F23" s="52" t="s">
        <v>1515</v>
      </c>
      <c r="G23" s="52" t="s">
        <v>1525</v>
      </c>
      <c r="P23" s="64" t="s">
        <v>1535</v>
      </c>
    </row>
    <row r="24" spans="1:16" x14ac:dyDescent="0.25">
      <c r="A24" s="95"/>
      <c r="B24" s="52" t="s">
        <v>1536</v>
      </c>
      <c r="C24" s="52" t="s">
        <v>1514</v>
      </c>
      <c r="D24" s="50"/>
      <c r="E24" s="56">
        <f>D24 * 0</f>
        <v>0</v>
      </c>
      <c r="F24" s="52" t="s">
        <v>1515</v>
      </c>
      <c r="G24" s="52" t="s">
        <v>1537</v>
      </c>
      <c r="P24" s="64" t="s">
        <v>1538</v>
      </c>
    </row>
    <row r="25" spans="1:16" x14ac:dyDescent="0.25">
      <c r="A25" s="95" t="s">
        <v>1539</v>
      </c>
      <c r="B25" s="52" t="s">
        <v>1540</v>
      </c>
      <c r="C25" s="52" t="s">
        <v>1514</v>
      </c>
      <c r="D25" s="50"/>
      <c r="E25" s="56">
        <f>D25 * -7973.1517686333</f>
        <v>0</v>
      </c>
      <c r="F25" s="52" t="s">
        <v>1515</v>
      </c>
      <c r="G25" s="52" t="s">
        <v>1541</v>
      </c>
      <c r="P25" s="64" t="s">
        <v>1542</v>
      </c>
    </row>
    <row r="26" spans="1:16" x14ac:dyDescent="0.25">
      <c r="A26" s="95"/>
      <c r="B26" s="52" t="s">
        <v>1543</v>
      </c>
      <c r="C26" s="52" t="s">
        <v>1514</v>
      </c>
      <c r="D26" s="50"/>
      <c r="E26" s="56">
        <f>D26 * -1566.3814833333</f>
        <v>0</v>
      </c>
      <c r="F26" s="52" t="s">
        <v>1515</v>
      </c>
      <c r="G26" s="52" t="s">
        <v>1544</v>
      </c>
      <c r="P26" s="64" t="s">
        <v>1545</v>
      </c>
    </row>
    <row r="27" spans="1:16" x14ac:dyDescent="0.25">
      <c r="A27" s="95"/>
      <c r="B27" s="52" t="s">
        <v>1546</v>
      </c>
      <c r="C27" s="52" t="s">
        <v>1514</v>
      </c>
      <c r="D27" s="50"/>
      <c r="E27" s="56">
        <f>D27 * 0</f>
        <v>0</v>
      </c>
      <c r="F27" s="52" t="s">
        <v>1515</v>
      </c>
      <c r="G27" s="52" t="s">
        <v>1537</v>
      </c>
      <c r="P27" s="64" t="s">
        <v>1547</v>
      </c>
    </row>
    <row r="28" spans="1:16" x14ac:dyDescent="0.25">
      <c r="D28" s="65" t="s">
        <v>116</v>
      </c>
      <c r="E28" s="56">
        <f>SUM(E16:E27)</f>
        <v>0</v>
      </c>
    </row>
    <row r="30" spans="1:16" x14ac:dyDescent="0.25">
      <c r="A30" s="92" t="s">
        <v>1548</v>
      </c>
      <c r="B30" s="92"/>
      <c r="C30" s="92"/>
      <c r="D30" s="92"/>
      <c r="E30" s="92"/>
      <c r="F30" s="92"/>
      <c r="G30" s="92"/>
      <c r="H30" s="92"/>
      <c r="I30" s="92"/>
      <c r="J30" s="92"/>
    </row>
    <row r="31" spans="1:16" x14ac:dyDescent="0.25">
      <c r="A31" s="93" t="s">
        <v>1549</v>
      </c>
      <c r="B31" s="93"/>
      <c r="C31" s="59" t="s">
        <v>61</v>
      </c>
      <c r="D31" s="60" t="s">
        <v>62</v>
      </c>
      <c r="E31" s="58" t="s">
        <v>63</v>
      </c>
      <c r="F31" s="58" t="s">
        <v>64</v>
      </c>
      <c r="G31" s="58" t="s">
        <v>65</v>
      </c>
      <c r="H31" s="58" t="s">
        <v>66</v>
      </c>
      <c r="I31" s="59" t="s">
        <v>240</v>
      </c>
      <c r="J31" s="59" t="s">
        <v>67</v>
      </c>
      <c r="P31" s="61" t="s">
        <v>68</v>
      </c>
    </row>
    <row r="32" spans="1:16" x14ac:dyDescent="0.25">
      <c r="A32" s="95" t="s">
        <v>1512</v>
      </c>
      <c r="B32" s="94" t="s">
        <v>1513</v>
      </c>
      <c r="C32" s="94"/>
      <c r="D32" s="94"/>
      <c r="E32" s="94"/>
      <c r="F32" s="94"/>
      <c r="G32" s="94"/>
      <c r="H32" s="94"/>
      <c r="I32" s="94"/>
      <c r="J32" s="94"/>
    </row>
    <row r="33" spans="1:16" x14ac:dyDescent="0.25">
      <c r="A33" s="95"/>
      <c r="B33" s="52" t="s">
        <v>1550</v>
      </c>
      <c r="C33" s="52" t="s">
        <v>1514</v>
      </c>
      <c r="D33" s="50"/>
      <c r="E33" s="56">
        <f>F33 + G33 + H33</f>
        <v>0</v>
      </c>
      <c r="F33" s="57">
        <f>D33 * 986156.334308726</f>
        <v>0</v>
      </c>
      <c r="G33" s="57">
        <f>D33 * 0</f>
        <v>0</v>
      </c>
      <c r="H33" s="57">
        <f>D33 * 0</f>
        <v>0</v>
      </c>
      <c r="I33" s="52" t="s">
        <v>1515</v>
      </c>
      <c r="J33" s="52" t="s">
        <v>1551</v>
      </c>
      <c r="P33" s="64" t="s">
        <v>1552</v>
      </c>
    </row>
    <row r="34" spans="1:16" x14ac:dyDescent="0.25">
      <c r="A34" s="95"/>
      <c r="B34" s="94" t="s">
        <v>1518</v>
      </c>
      <c r="C34" s="94"/>
      <c r="D34" s="94"/>
      <c r="E34" s="94"/>
      <c r="F34" s="94"/>
      <c r="G34" s="94"/>
      <c r="H34" s="94"/>
      <c r="I34" s="94"/>
      <c r="J34" s="94"/>
    </row>
    <row r="35" spans="1:16" x14ac:dyDescent="0.25">
      <c r="A35" s="95"/>
      <c r="B35" s="52" t="s">
        <v>1550</v>
      </c>
      <c r="C35" s="52" t="s">
        <v>1514</v>
      </c>
      <c r="D35" s="50"/>
      <c r="E35" s="56">
        <f>F35 + G35 + H35</f>
        <v>0</v>
      </c>
      <c r="F35" s="57">
        <f>D35 * 1025052.95683717</f>
        <v>0</v>
      </c>
      <c r="G35" s="57">
        <f>D35 * 0</f>
        <v>0</v>
      </c>
      <c r="H35" s="57">
        <f>D35 * 0</f>
        <v>0</v>
      </c>
      <c r="I35" s="52" t="s">
        <v>1515</v>
      </c>
      <c r="J35" s="52" t="s">
        <v>1551</v>
      </c>
      <c r="P35" s="64" t="s">
        <v>1553</v>
      </c>
    </row>
    <row r="36" spans="1:16" x14ac:dyDescent="0.25">
      <c r="A36" s="95"/>
      <c r="B36" s="94" t="s">
        <v>1554</v>
      </c>
      <c r="C36" s="94"/>
      <c r="D36" s="94"/>
      <c r="E36" s="94"/>
      <c r="F36" s="94"/>
      <c r="G36" s="94"/>
      <c r="H36" s="94"/>
      <c r="I36" s="94"/>
      <c r="J36" s="94"/>
    </row>
    <row r="37" spans="1:16" x14ac:dyDescent="0.25">
      <c r="A37" s="95"/>
      <c r="B37" s="52" t="s">
        <v>1550</v>
      </c>
      <c r="C37" s="52" t="s">
        <v>1514</v>
      </c>
      <c r="D37" s="50"/>
      <c r="E37" s="56">
        <f>F37 + G37 + H37</f>
        <v>0</v>
      </c>
      <c r="F37" s="57">
        <f>D37 * 1198253.43805152</f>
        <v>0</v>
      </c>
      <c r="G37" s="57">
        <f>D37 * 0</f>
        <v>0</v>
      </c>
      <c r="H37" s="57">
        <f>D37 * 0</f>
        <v>0</v>
      </c>
      <c r="I37" s="52" t="s">
        <v>1515</v>
      </c>
      <c r="J37" s="52" t="s">
        <v>1555</v>
      </c>
      <c r="P37" s="64" t="s">
        <v>1556</v>
      </c>
    </row>
    <row r="38" spans="1:16" x14ac:dyDescent="0.25">
      <c r="A38" s="95"/>
      <c r="B38" s="94" t="s">
        <v>1524</v>
      </c>
      <c r="C38" s="94"/>
      <c r="D38" s="94"/>
      <c r="E38" s="94"/>
      <c r="F38" s="94"/>
      <c r="G38" s="94"/>
      <c r="H38" s="94"/>
      <c r="I38" s="94"/>
      <c r="J38" s="94"/>
    </row>
    <row r="39" spans="1:16" x14ac:dyDescent="0.25">
      <c r="A39" s="95"/>
      <c r="B39" s="52" t="s">
        <v>1550</v>
      </c>
      <c r="C39" s="52" t="s">
        <v>1514</v>
      </c>
      <c r="D39" s="50"/>
      <c r="E39" s="56">
        <f>F39 + G39 + H39</f>
        <v>0</v>
      </c>
      <c r="F39" s="57">
        <f>D39 * 280035.592408103</f>
        <v>0</v>
      </c>
      <c r="G39" s="57">
        <f>D39 * 0</f>
        <v>0</v>
      </c>
      <c r="H39" s="57">
        <f>D39 * 0</f>
        <v>0</v>
      </c>
      <c r="I39" s="52" t="s">
        <v>1515</v>
      </c>
      <c r="J39" s="52" t="s">
        <v>1557</v>
      </c>
      <c r="P39" s="64" t="s">
        <v>1558</v>
      </c>
    </row>
    <row r="40" spans="1:16" x14ac:dyDescent="0.25">
      <c r="A40" s="95" t="s">
        <v>1527</v>
      </c>
      <c r="B40" s="94" t="s">
        <v>1513</v>
      </c>
      <c r="C40" s="94"/>
      <c r="D40" s="94"/>
      <c r="E40" s="94"/>
      <c r="F40" s="94"/>
      <c r="G40" s="94"/>
      <c r="H40" s="94"/>
      <c r="I40" s="94"/>
      <c r="J40" s="94"/>
    </row>
    <row r="41" spans="1:16" x14ac:dyDescent="0.25">
      <c r="A41" s="95"/>
      <c r="B41" s="52" t="s">
        <v>1559</v>
      </c>
      <c r="C41" s="52" t="s">
        <v>1514</v>
      </c>
      <c r="D41" s="50"/>
      <c r="E41" s="56">
        <f>F41 + G41 + H41</f>
        <v>0</v>
      </c>
      <c r="F41" s="57">
        <f>D41 * 0</f>
        <v>0</v>
      </c>
      <c r="G41" s="57">
        <f>D41 * 0</f>
        <v>0</v>
      </c>
      <c r="H41" s="57">
        <f>D41 * 0</f>
        <v>0</v>
      </c>
      <c r="I41" s="52" t="s">
        <v>1515</v>
      </c>
      <c r="J41" s="52" t="s">
        <v>1537</v>
      </c>
      <c r="P41" s="64" t="s">
        <v>1560</v>
      </c>
    </row>
    <row r="42" spans="1:16" x14ac:dyDescent="0.25">
      <c r="A42" s="95"/>
      <c r="B42" s="52" t="s">
        <v>1561</v>
      </c>
      <c r="C42" s="52" t="s">
        <v>1514</v>
      </c>
      <c r="D42" s="50"/>
      <c r="E42" s="56">
        <f>F42 + G42 + H42</f>
        <v>0</v>
      </c>
      <c r="F42" s="57">
        <f>D42 * 986156.334308726</f>
        <v>0</v>
      </c>
      <c r="G42" s="57">
        <f>D42 * 0</f>
        <v>0</v>
      </c>
      <c r="H42" s="57">
        <f>D42 * 0</f>
        <v>0</v>
      </c>
      <c r="I42" s="52" t="s">
        <v>1515</v>
      </c>
      <c r="J42" s="52" t="s">
        <v>1551</v>
      </c>
      <c r="P42" s="64" t="s">
        <v>1562</v>
      </c>
    </row>
    <row r="43" spans="1:16" x14ac:dyDescent="0.25">
      <c r="A43" s="95"/>
      <c r="B43" s="94" t="s">
        <v>1518</v>
      </c>
      <c r="C43" s="94"/>
      <c r="D43" s="94"/>
      <c r="E43" s="94"/>
      <c r="F43" s="94"/>
      <c r="G43" s="94"/>
      <c r="H43" s="94"/>
      <c r="I43" s="94"/>
      <c r="J43" s="94"/>
    </row>
    <row r="44" spans="1:16" x14ac:dyDescent="0.25">
      <c r="A44" s="95"/>
      <c r="B44" s="52" t="s">
        <v>1559</v>
      </c>
      <c r="C44" s="52" t="s">
        <v>1514</v>
      </c>
      <c r="D44" s="50"/>
      <c r="E44" s="56">
        <f>F44 + G44 + H44</f>
        <v>0</v>
      </c>
      <c r="F44" s="57">
        <f>D44 * 0</f>
        <v>0</v>
      </c>
      <c r="G44" s="57">
        <f>D44 * 0</f>
        <v>0</v>
      </c>
      <c r="H44" s="57">
        <f>D44 * 0</f>
        <v>0</v>
      </c>
      <c r="I44" s="52" t="s">
        <v>1515</v>
      </c>
      <c r="J44" s="52" t="s">
        <v>1537</v>
      </c>
      <c r="P44" s="64" t="s">
        <v>1563</v>
      </c>
    </row>
    <row r="45" spans="1:16" x14ac:dyDescent="0.25">
      <c r="A45" s="95"/>
      <c r="B45" s="52" t="s">
        <v>1561</v>
      </c>
      <c r="C45" s="52" t="s">
        <v>1514</v>
      </c>
      <c r="D45" s="50"/>
      <c r="E45" s="56">
        <f>F45 + G45 + H45</f>
        <v>0</v>
      </c>
      <c r="F45" s="57">
        <f>D45 * 1025052.95683717</f>
        <v>0</v>
      </c>
      <c r="G45" s="57">
        <f>D45 * 0</f>
        <v>0</v>
      </c>
      <c r="H45" s="57">
        <f>D45 * 0</f>
        <v>0</v>
      </c>
      <c r="I45" s="52" t="s">
        <v>1515</v>
      </c>
      <c r="J45" s="52" t="s">
        <v>1551</v>
      </c>
      <c r="P45" s="64" t="s">
        <v>1564</v>
      </c>
    </row>
    <row r="46" spans="1:16" x14ac:dyDescent="0.25">
      <c r="A46" s="95"/>
      <c r="B46" s="94" t="s">
        <v>1554</v>
      </c>
      <c r="C46" s="94"/>
      <c r="D46" s="94"/>
      <c r="E46" s="94"/>
      <c r="F46" s="94"/>
      <c r="G46" s="94"/>
      <c r="H46" s="94"/>
      <c r="I46" s="94"/>
      <c r="J46" s="94"/>
    </row>
    <row r="47" spans="1:16" x14ac:dyDescent="0.25">
      <c r="A47" s="95"/>
      <c r="B47" s="52" t="s">
        <v>1559</v>
      </c>
      <c r="C47" s="52" t="s">
        <v>1514</v>
      </c>
      <c r="D47" s="50"/>
      <c r="E47" s="56">
        <f>F47 + G47 + H47</f>
        <v>0</v>
      </c>
      <c r="F47" s="57">
        <f>D47 * 0</f>
        <v>0</v>
      </c>
      <c r="G47" s="57">
        <f>D47 * 0</f>
        <v>0</v>
      </c>
      <c r="H47" s="57">
        <f>D47 * 0</f>
        <v>0</v>
      </c>
      <c r="I47" s="52" t="s">
        <v>1515</v>
      </c>
      <c r="J47" s="52" t="s">
        <v>1537</v>
      </c>
      <c r="P47" s="64" t="s">
        <v>1565</v>
      </c>
    </row>
    <row r="48" spans="1:16" x14ac:dyDescent="0.25">
      <c r="A48" s="95"/>
      <c r="B48" s="52" t="s">
        <v>1561</v>
      </c>
      <c r="C48" s="52" t="s">
        <v>1514</v>
      </c>
      <c r="D48" s="50"/>
      <c r="E48" s="56">
        <f>F48 + G48 + H48</f>
        <v>0</v>
      </c>
      <c r="F48" s="57">
        <f>D48 * 1198253.43805152</f>
        <v>0</v>
      </c>
      <c r="G48" s="57">
        <f>D48 * 0</f>
        <v>0</v>
      </c>
      <c r="H48" s="57">
        <f>D48 * 0</f>
        <v>0</v>
      </c>
      <c r="I48" s="52" t="s">
        <v>1515</v>
      </c>
      <c r="J48" s="52" t="s">
        <v>1555</v>
      </c>
      <c r="P48" s="64" t="s">
        <v>1566</v>
      </c>
    </row>
    <row r="49" spans="1:16" x14ac:dyDescent="0.25">
      <c r="A49" s="95"/>
      <c r="B49" s="94" t="s">
        <v>1524</v>
      </c>
      <c r="C49" s="94"/>
      <c r="D49" s="94"/>
      <c r="E49" s="94"/>
      <c r="F49" s="94"/>
      <c r="G49" s="94"/>
      <c r="H49" s="94"/>
      <c r="I49" s="94"/>
      <c r="J49" s="94"/>
    </row>
    <row r="50" spans="1:16" x14ac:dyDescent="0.25">
      <c r="A50" s="95"/>
      <c r="B50" s="52" t="s">
        <v>1559</v>
      </c>
      <c r="C50" s="52" t="s">
        <v>1514</v>
      </c>
      <c r="D50" s="50"/>
      <c r="E50" s="56">
        <f>F50 + G50 + H50</f>
        <v>0</v>
      </c>
      <c r="F50" s="57">
        <f>D50 * 0</f>
        <v>0</v>
      </c>
      <c r="G50" s="57">
        <f>D50 * 0</f>
        <v>0</v>
      </c>
      <c r="H50" s="57">
        <f>D50 * 0</f>
        <v>0</v>
      </c>
      <c r="I50" s="52" t="s">
        <v>1515</v>
      </c>
      <c r="J50" s="52" t="s">
        <v>1537</v>
      </c>
      <c r="P50" s="64" t="s">
        <v>1567</v>
      </c>
    </row>
    <row r="51" spans="1:16" x14ac:dyDescent="0.25">
      <c r="A51" s="95"/>
      <c r="B51" s="52" t="s">
        <v>1561</v>
      </c>
      <c r="C51" s="52" t="s">
        <v>1514</v>
      </c>
      <c r="D51" s="50"/>
      <c r="E51" s="56">
        <f>F51 + G51 + H51</f>
        <v>0</v>
      </c>
      <c r="F51" s="57">
        <f>D51 * 280035.592408103</f>
        <v>0</v>
      </c>
      <c r="G51" s="57">
        <f>D51 * 0</f>
        <v>0</v>
      </c>
      <c r="H51" s="57">
        <f>D51 * 0</f>
        <v>0</v>
      </c>
      <c r="I51" s="52" t="s">
        <v>1515</v>
      </c>
      <c r="J51" s="52" t="s">
        <v>1557</v>
      </c>
      <c r="P51" s="64" t="s">
        <v>1568</v>
      </c>
    </row>
    <row r="52" spans="1:16" x14ac:dyDescent="0.25">
      <c r="A52" s="95" t="s">
        <v>1539</v>
      </c>
      <c r="B52" s="94" t="s">
        <v>1540</v>
      </c>
      <c r="C52" s="94"/>
      <c r="D52" s="94"/>
      <c r="E52" s="94"/>
      <c r="F52" s="94"/>
      <c r="G52" s="94"/>
      <c r="H52" s="94"/>
      <c r="I52" s="94"/>
      <c r="J52" s="94"/>
    </row>
    <row r="53" spans="1:16" x14ac:dyDescent="0.25">
      <c r="A53" s="95"/>
      <c r="B53" s="52" t="s">
        <v>1561</v>
      </c>
      <c r="C53" s="52" t="s">
        <v>1514</v>
      </c>
      <c r="D53" s="50"/>
      <c r="E53" s="56">
        <f>F53 + G53 + H53</f>
        <v>0</v>
      </c>
      <c r="F53" s="57">
        <f>D53 * 141350</f>
        <v>0</v>
      </c>
      <c r="G53" s="57">
        <f>D53 * 0</f>
        <v>0</v>
      </c>
      <c r="H53" s="57">
        <f>D53 * 0</f>
        <v>0</v>
      </c>
      <c r="I53" s="52" t="s">
        <v>1515</v>
      </c>
      <c r="J53" s="52" t="s">
        <v>1569</v>
      </c>
      <c r="P53" s="64" t="s">
        <v>1570</v>
      </c>
    </row>
    <row r="54" spans="1:16" x14ac:dyDescent="0.25">
      <c r="A54" s="95"/>
      <c r="B54" s="94" t="s">
        <v>1543</v>
      </c>
      <c r="C54" s="94"/>
      <c r="D54" s="94"/>
      <c r="E54" s="94"/>
      <c r="F54" s="94"/>
      <c r="G54" s="94"/>
      <c r="H54" s="94"/>
      <c r="I54" s="94"/>
      <c r="J54" s="94"/>
    </row>
    <row r="55" spans="1:16" x14ac:dyDescent="0.25">
      <c r="A55" s="95"/>
      <c r="B55" s="52" t="s">
        <v>1561</v>
      </c>
      <c r="C55" s="52" t="s">
        <v>1514</v>
      </c>
      <c r="D55" s="50"/>
      <c r="E55" s="56">
        <f>F55 + G55 + H55</f>
        <v>0</v>
      </c>
      <c r="F55" s="57">
        <f>D55 * 278727.273036667</f>
        <v>0</v>
      </c>
      <c r="G55" s="57">
        <f>D55 * 0</f>
        <v>0</v>
      </c>
      <c r="H55" s="57">
        <f>D55 * 0</f>
        <v>0</v>
      </c>
      <c r="I55" s="52" t="s">
        <v>1515</v>
      </c>
      <c r="J55" s="52" t="s">
        <v>1571</v>
      </c>
      <c r="P55" s="64" t="s">
        <v>1572</v>
      </c>
    </row>
    <row r="56" spans="1:16" x14ac:dyDescent="0.25">
      <c r="A56" s="95"/>
      <c r="B56" s="94" t="s">
        <v>1546</v>
      </c>
      <c r="C56" s="94"/>
      <c r="D56" s="94"/>
      <c r="E56" s="94"/>
      <c r="F56" s="94"/>
      <c r="G56" s="94"/>
      <c r="H56" s="94"/>
      <c r="I56" s="94"/>
      <c r="J56" s="94"/>
    </row>
    <row r="57" spans="1:16" x14ac:dyDescent="0.25">
      <c r="A57" s="95"/>
      <c r="B57" s="52" t="s">
        <v>1561</v>
      </c>
      <c r="C57" s="52" t="s">
        <v>1514</v>
      </c>
      <c r="D57" s="50"/>
      <c r="E57" s="56">
        <f>F57 + G57 + H57</f>
        <v>0</v>
      </c>
      <c r="F57" s="57">
        <f>D57 * 898619.660033333</f>
        <v>0</v>
      </c>
      <c r="G57" s="57">
        <f>D57 * 0</f>
        <v>0</v>
      </c>
      <c r="H57" s="57">
        <f>D57 * 0</f>
        <v>0</v>
      </c>
      <c r="I57" s="52" t="s">
        <v>1515</v>
      </c>
      <c r="J57" s="52" t="s">
        <v>1573</v>
      </c>
      <c r="P57" s="64" t="s">
        <v>1574</v>
      </c>
    </row>
    <row r="58" spans="1:16" x14ac:dyDescent="0.25">
      <c r="D58" s="65" t="s">
        <v>116</v>
      </c>
      <c r="E58" s="56">
        <f>SUM(E32:E57)</f>
        <v>0</v>
      </c>
      <c r="F58" s="57">
        <f>SUM(F32:F57)</f>
        <v>0</v>
      </c>
      <c r="G58" s="57">
        <f>SUM(G32:G57)</f>
        <v>0</v>
      </c>
      <c r="H58" s="57">
        <f>SUM(H32:H57)</f>
        <v>0</v>
      </c>
    </row>
    <row r="60" spans="1:16" x14ac:dyDescent="0.25">
      <c r="A60" s="92" t="s">
        <v>1575</v>
      </c>
      <c r="B60" s="92"/>
      <c r="C60" s="92"/>
      <c r="D60" s="92"/>
      <c r="E60" s="92"/>
      <c r="F60" s="92"/>
      <c r="G60" s="92"/>
      <c r="H60" s="92"/>
      <c r="I60" s="92"/>
      <c r="J60" s="92"/>
    </row>
    <row r="61" spans="1:16" x14ac:dyDescent="0.25">
      <c r="A61" s="93" t="s">
        <v>1576</v>
      </c>
      <c r="B61" s="93"/>
      <c r="C61" s="59" t="s">
        <v>61</v>
      </c>
      <c r="D61" s="60" t="s">
        <v>62</v>
      </c>
      <c r="E61" s="58" t="s">
        <v>63</v>
      </c>
      <c r="F61" s="58" t="s">
        <v>64</v>
      </c>
      <c r="G61" s="58" t="s">
        <v>65</v>
      </c>
      <c r="H61" s="58" t="s">
        <v>66</v>
      </c>
      <c r="I61" s="59" t="s">
        <v>240</v>
      </c>
      <c r="J61" s="59" t="s">
        <v>67</v>
      </c>
      <c r="P61" s="61" t="s">
        <v>68</v>
      </c>
    </row>
    <row r="62" spans="1:16" x14ac:dyDescent="0.25">
      <c r="A62" s="95" t="s">
        <v>1577</v>
      </c>
      <c r="B62" s="52" t="s">
        <v>1578</v>
      </c>
      <c r="C62" s="52" t="s">
        <v>1579</v>
      </c>
      <c r="D62" s="50"/>
      <c r="E62" s="56">
        <f t="shared" ref="E62:E96" si="0">F62 + G62 + H62</f>
        <v>0</v>
      </c>
      <c r="F62" s="57">
        <f t="shared" ref="F62:F82" si="1">D62 * 0</f>
        <v>0</v>
      </c>
      <c r="G62" s="57">
        <f>D62 * 2627.6458054145</f>
        <v>0</v>
      </c>
      <c r="H62" s="57">
        <f t="shared" ref="H62:H71" si="2">D62 * 0</f>
        <v>0</v>
      </c>
      <c r="I62" s="52" t="s">
        <v>1580</v>
      </c>
      <c r="J62" s="52" t="s">
        <v>1581</v>
      </c>
      <c r="P62" s="64" t="s">
        <v>1582</v>
      </c>
    </row>
    <row r="63" spans="1:16" x14ac:dyDescent="0.25">
      <c r="A63" s="95"/>
      <c r="B63" s="52" t="s">
        <v>1583</v>
      </c>
      <c r="C63" s="52" t="s">
        <v>1579</v>
      </c>
      <c r="D63" s="50"/>
      <c r="E63" s="56">
        <f t="shared" si="0"/>
        <v>0</v>
      </c>
      <c r="F63" s="57">
        <f t="shared" si="1"/>
        <v>0</v>
      </c>
      <c r="G63" s="57">
        <f>D63 * 1849.2700356707</f>
        <v>0</v>
      </c>
      <c r="H63" s="57">
        <f t="shared" si="2"/>
        <v>0</v>
      </c>
      <c r="I63" s="52" t="s">
        <v>1584</v>
      </c>
      <c r="J63" s="52" t="s">
        <v>1581</v>
      </c>
      <c r="P63" s="64" t="s">
        <v>1585</v>
      </c>
    </row>
    <row r="64" spans="1:16" x14ac:dyDescent="0.25">
      <c r="A64" s="95"/>
      <c r="B64" s="52" t="s">
        <v>1586</v>
      </c>
      <c r="C64" s="52" t="s">
        <v>1579</v>
      </c>
      <c r="D64" s="50"/>
      <c r="E64" s="56">
        <f t="shared" si="0"/>
        <v>0</v>
      </c>
      <c r="F64" s="57">
        <f t="shared" si="1"/>
        <v>0</v>
      </c>
      <c r="G64" s="57">
        <f>D64 * 349.9514958559</f>
        <v>0</v>
      </c>
      <c r="H64" s="57">
        <f t="shared" si="2"/>
        <v>0</v>
      </c>
      <c r="I64" s="52" t="s">
        <v>1584</v>
      </c>
      <c r="J64" s="52" t="s">
        <v>1581</v>
      </c>
      <c r="P64" s="64" t="s">
        <v>1587</v>
      </c>
    </row>
    <row r="65" spans="1:16" x14ac:dyDescent="0.25">
      <c r="A65" s="95"/>
      <c r="B65" s="52" t="s">
        <v>1588</v>
      </c>
      <c r="C65" s="52" t="s">
        <v>1579</v>
      </c>
      <c r="D65" s="50"/>
      <c r="E65" s="56">
        <f t="shared" si="0"/>
        <v>0</v>
      </c>
      <c r="F65" s="57">
        <f t="shared" si="1"/>
        <v>0</v>
      </c>
      <c r="G65" s="57">
        <f>D65 * 641.3501360532</f>
        <v>0</v>
      </c>
      <c r="H65" s="57">
        <f t="shared" si="2"/>
        <v>0</v>
      </c>
      <c r="I65" s="52" t="s">
        <v>1584</v>
      </c>
      <c r="J65" s="52" t="s">
        <v>1581</v>
      </c>
      <c r="P65" s="64" t="s">
        <v>1589</v>
      </c>
    </row>
    <row r="66" spans="1:16" x14ac:dyDescent="0.25">
      <c r="A66" s="95"/>
      <c r="B66" s="52" t="s">
        <v>1590</v>
      </c>
      <c r="C66" s="52" t="s">
        <v>1579</v>
      </c>
      <c r="D66" s="50"/>
      <c r="E66" s="56">
        <f t="shared" si="0"/>
        <v>0</v>
      </c>
      <c r="F66" s="57">
        <f t="shared" si="1"/>
        <v>0</v>
      </c>
      <c r="G66" s="57">
        <f>D66 * 29.68</f>
        <v>0</v>
      </c>
      <c r="H66" s="57">
        <f t="shared" si="2"/>
        <v>0</v>
      </c>
      <c r="I66" s="52" t="s">
        <v>1584</v>
      </c>
      <c r="J66" s="52" t="s">
        <v>1581</v>
      </c>
      <c r="P66" s="64" t="s">
        <v>1591</v>
      </c>
    </row>
    <row r="67" spans="1:16" x14ac:dyDescent="0.25">
      <c r="A67" s="95"/>
      <c r="B67" s="52" t="s">
        <v>1592</v>
      </c>
      <c r="C67" s="52" t="s">
        <v>1579</v>
      </c>
      <c r="D67" s="50"/>
      <c r="E67" s="56">
        <f t="shared" si="0"/>
        <v>0</v>
      </c>
      <c r="F67" s="57">
        <f t="shared" si="1"/>
        <v>0</v>
      </c>
      <c r="G67" s="57">
        <f>D67 * 250.9684210526</f>
        <v>0</v>
      </c>
      <c r="H67" s="57">
        <f t="shared" si="2"/>
        <v>0</v>
      </c>
      <c r="I67" s="52" t="s">
        <v>1584</v>
      </c>
      <c r="J67" s="52" t="s">
        <v>1581</v>
      </c>
      <c r="P67" s="64" t="s">
        <v>1593</v>
      </c>
    </row>
    <row r="68" spans="1:16" x14ac:dyDescent="0.25">
      <c r="A68" s="95"/>
      <c r="B68" s="52" t="s">
        <v>1594</v>
      </c>
      <c r="C68" s="52" t="s">
        <v>1579</v>
      </c>
      <c r="D68" s="50"/>
      <c r="E68" s="56">
        <f t="shared" si="0"/>
        <v>0</v>
      </c>
      <c r="F68" s="57">
        <f t="shared" si="1"/>
        <v>0</v>
      </c>
      <c r="G68" s="57">
        <f>D68 * 504</f>
        <v>0</v>
      </c>
      <c r="H68" s="57">
        <f t="shared" si="2"/>
        <v>0</v>
      </c>
      <c r="I68" s="52" t="s">
        <v>1584</v>
      </c>
      <c r="J68" s="52" t="s">
        <v>1581</v>
      </c>
      <c r="P68" s="64" t="s">
        <v>1595</v>
      </c>
    </row>
    <row r="69" spans="1:16" x14ac:dyDescent="0.25">
      <c r="A69" s="95"/>
      <c r="B69" s="52" t="s">
        <v>1596</v>
      </c>
      <c r="C69" s="52" t="s">
        <v>1579</v>
      </c>
      <c r="D69" s="50"/>
      <c r="E69" s="56">
        <f t="shared" si="0"/>
        <v>0</v>
      </c>
      <c r="F69" s="57">
        <f t="shared" si="1"/>
        <v>0</v>
      </c>
      <c r="G69" s="57">
        <f>D69 * 224</f>
        <v>0</v>
      </c>
      <c r="H69" s="57">
        <f t="shared" si="2"/>
        <v>0</v>
      </c>
      <c r="I69" s="52" t="s">
        <v>1584</v>
      </c>
      <c r="J69" s="52" t="s">
        <v>1581</v>
      </c>
      <c r="P69" s="64" t="s">
        <v>1597</v>
      </c>
    </row>
    <row r="70" spans="1:16" x14ac:dyDescent="0.25">
      <c r="A70" s="95"/>
      <c r="B70" s="52" t="s">
        <v>1598</v>
      </c>
      <c r="C70" s="52" t="s">
        <v>1579</v>
      </c>
      <c r="D70" s="50"/>
      <c r="E70" s="56">
        <f t="shared" si="0"/>
        <v>0</v>
      </c>
      <c r="F70" s="57">
        <f t="shared" si="1"/>
        <v>0</v>
      </c>
      <c r="G70" s="57">
        <f>D70 * 280</f>
        <v>0</v>
      </c>
      <c r="H70" s="57">
        <f t="shared" si="2"/>
        <v>0</v>
      </c>
      <c r="I70" s="52" t="s">
        <v>1584</v>
      </c>
      <c r="J70" s="52" t="s">
        <v>1581</v>
      </c>
      <c r="P70" s="64" t="s">
        <v>1599</v>
      </c>
    </row>
    <row r="71" spans="1:16" x14ac:dyDescent="0.25">
      <c r="A71" s="95"/>
      <c r="B71" s="52" t="s">
        <v>1413</v>
      </c>
      <c r="C71" s="52" t="s">
        <v>1579</v>
      </c>
      <c r="D71" s="50"/>
      <c r="E71" s="56">
        <f t="shared" si="0"/>
        <v>0</v>
      </c>
      <c r="F71" s="57">
        <f t="shared" si="1"/>
        <v>0</v>
      </c>
      <c r="G71" s="57">
        <f>D71 * 0</f>
        <v>0</v>
      </c>
      <c r="H71" s="57">
        <f t="shared" si="2"/>
        <v>0</v>
      </c>
      <c r="I71" s="52" t="s">
        <v>51</v>
      </c>
      <c r="J71" s="52">
        <v>0</v>
      </c>
      <c r="P71" s="64" t="s">
        <v>1600</v>
      </c>
    </row>
    <row r="72" spans="1:16" x14ac:dyDescent="0.25">
      <c r="A72" s="95" t="s">
        <v>1601</v>
      </c>
      <c r="B72" s="52" t="s">
        <v>1578</v>
      </c>
      <c r="C72" s="52" t="s">
        <v>1579</v>
      </c>
      <c r="D72" s="50"/>
      <c r="E72" s="56">
        <f t="shared" si="0"/>
        <v>0</v>
      </c>
      <c r="F72" s="57">
        <f t="shared" si="1"/>
        <v>0</v>
      </c>
      <c r="G72" s="57">
        <f>D72 * 253.2429966806</f>
        <v>0</v>
      </c>
      <c r="H72" s="57">
        <f>D72 * 12.2702114638</f>
        <v>0</v>
      </c>
      <c r="I72" s="52" t="s">
        <v>1580</v>
      </c>
      <c r="J72" s="52" t="s">
        <v>1602</v>
      </c>
      <c r="P72" s="64" t="s">
        <v>1603</v>
      </c>
    </row>
    <row r="73" spans="1:16" x14ac:dyDescent="0.25">
      <c r="A73" s="95"/>
      <c r="B73" s="52" t="s">
        <v>1583</v>
      </c>
      <c r="C73" s="52" t="s">
        <v>1579</v>
      </c>
      <c r="D73" s="50"/>
      <c r="E73" s="56">
        <f t="shared" si="0"/>
        <v>0</v>
      </c>
      <c r="F73" s="57">
        <f t="shared" si="1"/>
        <v>0</v>
      </c>
      <c r="G73" s="57">
        <f>D73 * 25.6133700286</f>
        <v>0</v>
      </c>
      <c r="H73" s="57">
        <f>D73 * 0</f>
        <v>0</v>
      </c>
      <c r="I73" s="52" t="s">
        <v>1584</v>
      </c>
      <c r="J73" s="52" t="s">
        <v>1604</v>
      </c>
      <c r="P73" s="64" t="s">
        <v>1605</v>
      </c>
    </row>
    <row r="74" spans="1:16" x14ac:dyDescent="0.25">
      <c r="A74" s="95"/>
      <c r="B74" s="52" t="s">
        <v>1586</v>
      </c>
      <c r="C74" s="52" t="s">
        <v>1579</v>
      </c>
      <c r="D74" s="50"/>
      <c r="E74" s="56">
        <f t="shared" si="0"/>
        <v>0</v>
      </c>
      <c r="F74" s="57">
        <f t="shared" si="1"/>
        <v>0</v>
      </c>
      <c r="G74" s="57">
        <f>D74 * 3.8244141976</f>
        <v>0</v>
      </c>
      <c r="H74" s="57">
        <f>D74 * 0</f>
        <v>0</v>
      </c>
      <c r="I74" s="52" t="s">
        <v>1584</v>
      </c>
      <c r="J74" s="52" t="s">
        <v>1604</v>
      </c>
      <c r="P74" s="64" t="s">
        <v>1606</v>
      </c>
    </row>
    <row r="75" spans="1:16" x14ac:dyDescent="0.25">
      <c r="A75" s="95"/>
      <c r="B75" s="52" t="s">
        <v>1588</v>
      </c>
      <c r="C75" s="52" t="s">
        <v>1579</v>
      </c>
      <c r="D75" s="50"/>
      <c r="E75" s="56">
        <f t="shared" si="0"/>
        <v>0</v>
      </c>
      <c r="F75" s="57">
        <f t="shared" si="1"/>
        <v>0</v>
      </c>
      <c r="G75" s="57">
        <f>D75 * 8.2928063845</f>
        <v>0</v>
      </c>
      <c r="H75" s="57">
        <f>D75 * 0</f>
        <v>0</v>
      </c>
      <c r="I75" s="52" t="s">
        <v>1584</v>
      </c>
      <c r="J75" s="52" t="s">
        <v>1604</v>
      </c>
      <c r="P75" s="64" t="s">
        <v>1607</v>
      </c>
    </row>
    <row r="76" spans="1:16" x14ac:dyDescent="0.25">
      <c r="A76" s="95"/>
      <c r="B76" s="52" t="s">
        <v>1590</v>
      </c>
      <c r="C76" s="52" t="s">
        <v>1579</v>
      </c>
      <c r="D76" s="50"/>
      <c r="E76" s="56">
        <f t="shared" si="0"/>
        <v>0</v>
      </c>
      <c r="F76" s="57">
        <f t="shared" si="1"/>
        <v>0</v>
      </c>
      <c r="G76" s="57">
        <f>D76 * 166.32</f>
        <v>0</v>
      </c>
      <c r="H76" s="57">
        <f>D76 * 52.0402443153</f>
        <v>0</v>
      </c>
      <c r="I76" s="52" t="s">
        <v>1584</v>
      </c>
      <c r="J76" s="52" t="s">
        <v>1602</v>
      </c>
      <c r="P76" s="64" t="s">
        <v>1608</v>
      </c>
    </row>
    <row r="77" spans="1:16" x14ac:dyDescent="0.25">
      <c r="A77" s="95"/>
      <c r="B77" s="52" t="s">
        <v>1592</v>
      </c>
      <c r="C77" s="52" t="s">
        <v>1579</v>
      </c>
      <c r="D77" s="50"/>
      <c r="E77" s="56">
        <f t="shared" si="0"/>
        <v>0</v>
      </c>
      <c r="F77" s="57">
        <f t="shared" si="1"/>
        <v>0</v>
      </c>
      <c r="G77" s="57">
        <f>D77 * 5.6</f>
        <v>0</v>
      </c>
      <c r="H77" s="57">
        <f>D77 * 0</f>
        <v>0</v>
      </c>
      <c r="I77" s="52" t="s">
        <v>1584</v>
      </c>
      <c r="J77" s="52" t="s">
        <v>1604</v>
      </c>
      <c r="P77" s="64" t="s">
        <v>1609</v>
      </c>
    </row>
    <row r="78" spans="1:16" x14ac:dyDescent="0.25">
      <c r="A78" s="95"/>
      <c r="B78" s="52" t="s">
        <v>1594</v>
      </c>
      <c r="C78" s="52" t="s">
        <v>1579</v>
      </c>
      <c r="D78" s="50"/>
      <c r="E78" s="56">
        <f t="shared" si="0"/>
        <v>0</v>
      </c>
      <c r="F78" s="57">
        <f t="shared" si="1"/>
        <v>0</v>
      </c>
      <c r="G78" s="57">
        <f>D78 * 65.52</f>
        <v>0</v>
      </c>
      <c r="H78" s="57">
        <f>D78 * 0</f>
        <v>0</v>
      </c>
      <c r="I78" s="52" t="s">
        <v>1584</v>
      </c>
      <c r="J78" s="52" t="s">
        <v>1604</v>
      </c>
      <c r="P78" s="64" t="s">
        <v>1610</v>
      </c>
    </row>
    <row r="79" spans="1:16" x14ac:dyDescent="0.25">
      <c r="A79" s="95"/>
      <c r="B79" s="52" t="s">
        <v>1596</v>
      </c>
      <c r="C79" s="52" t="s">
        <v>1579</v>
      </c>
      <c r="D79" s="50"/>
      <c r="E79" s="56">
        <f t="shared" si="0"/>
        <v>0</v>
      </c>
      <c r="F79" s="57">
        <f t="shared" si="1"/>
        <v>0</v>
      </c>
      <c r="G79" s="57">
        <f>D79 * 2.8397788535</f>
        <v>0</v>
      </c>
      <c r="H79" s="57">
        <f>D79 * 0</f>
        <v>0</v>
      </c>
      <c r="I79" s="52" t="s">
        <v>1584</v>
      </c>
      <c r="J79" s="52" t="s">
        <v>1604</v>
      </c>
      <c r="P79" s="64" t="s">
        <v>1611</v>
      </c>
    </row>
    <row r="80" spans="1:16" x14ac:dyDescent="0.25">
      <c r="A80" s="95"/>
      <c r="B80" s="52" t="s">
        <v>1598</v>
      </c>
      <c r="C80" s="52" t="s">
        <v>1579</v>
      </c>
      <c r="D80" s="50"/>
      <c r="E80" s="56">
        <f t="shared" si="0"/>
        <v>0</v>
      </c>
      <c r="F80" s="57">
        <f t="shared" si="1"/>
        <v>0</v>
      </c>
      <c r="G80" s="57">
        <f>D80 * 30.8</f>
        <v>0</v>
      </c>
      <c r="H80" s="57">
        <f>D80 * 0</f>
        <v>0</v>
      </c>
      <c r="I80" s="52" t="s">
        <v>1584</v>
      </c>
      <c r="J80" s="52" t="s">
        <v>1604</v>
      </c>
      <c r="P80" s="64" t="s">
        <v>1612</v>
      </c>
    </row>
    <row r="81" spans="1:16" x14ac:dyDescent="0.25">
      <c r="A81" s="95"/>
      <c r="B81" s="52" t="s">
        <v>1413</v>
      </c>
      <c r="C81" s="52" t="s">
        <v>1579</v>
      </c>
      <c r="D81" s="50"/>
      <c r="E81" s="56">
        <f t="shared" si="0"/>
        <v>0</v>
      </c>
      <c r="F81" s="57">
        <f t="shared" si="1"/>
        <v>0</v>
      </c>
      <c r="G81" s="57">
        <f>D81 * 0.8854585782</f>
        <v>0</v>
      </c>
      <c r="H81" s="57">
        <f>D81 * 0.5831676987</f>
        <v>0</v>
      </c>
      <c r="I81" s="52" t="s">
        <v>1584</v>
      </c>
      <c r="J81" s="52" t="s">
        <v>1602</v>
      </c>
      <c r="P81" s="64" t="s">
        <v>1613</v>
      </c>
    </row>
    <row r="82" spans="1:16" x14ac:dyDescent="0.25">
      <c r="A82" s="95" t="s">
        <v>1614</v>
      </c>
      <c r="B82" s="52" t="s">
        <v>1615</v>
      </c>
      <c r="C82" s="52" t="s">
        <v>1616</v>
      </c>
      <c r="D82" s="50"/>
      <c r="E82" s="56">
        <f t="shared" si="0"/>
        <v>0</v>
      </c>
      <c r="F82" s="57">
        <f t="shared" si="1"/>
        <v>0</v>
      </c>
      <c r="G82" s="57">
        <f t="shared" ref="G82:G96" si="3">D82 * 0</f>
        <v>0</v>
      </c>
      <c r="H82" s="57">
        <f>D82 * 4.8368178571</f>
        <v>0</v>
      </c>
      <c r="I82" s="52" t="s">
        <v>1617</v>
      </c>
      <c r="J82" s="52" t="s">
        <v>1618</v>
      </c>
      <c r="P82" s="64" t="s">
        <v>1619</v>
      </c>
    </row>
    <row r="83" spans="1:16" x14ac:dyDescent="0.25">
      <c r="A83" s="95"/>
      <c r="B83" s="52" t="s">
        <v>1620</v>
      </c>
      <c r="C83" s="52" t="s">
        <v>1616</v>
      </c>
      <c r="D83" s="50"/>
      <c r="E83" s="56">
        <f t="shared" si="0"/>
        <v>0</v>
      </c>
      <c r="F83" s="57">
        <f>D83 * 1.5942028985</f>
        <v>0</v>
      </c>
      <c r="G83" s="57">
        <f t="shared" si="3"/>
        <v>0</v>
      </c>
      <c r="H83" s="57">
        <f>D83 * 3.1294607143</f>
        <v>0</v>
      </c>
      <c r="I83" s="52" t="s">
        <v>1621</v>
      </c>
      <c r="J83" s="52" t="s">
        <v>1622</v>
      </c>
      <c r="P83" s="64" t="s">
        <v>1623</v>
      </c>
    </row>
    <row r="84" spans="1:16" x14ac:dyDescent="0.25">
      <c r="A84" s="95"/>
      <c r="B84" s="52" t="s">
        <v>1624</v>
      </c>
      <c r="C84" s="52" t="s">
        <v>1616</v>
      </c>
      <c r="D84" s="50"/>
      <c r="E84" s="56">
        <f t="shared" si="0"/>
        <v>0</v>
      </c>
      <c r="F84" s="57">
        <f>D84 * 1.5942028985</f>
        <v>0</v>
      </c>
      <c r="G84" s="57">
        <f t="shared" si="3"/>
        <v>0</v>
      </c>
      <c r="H84" s="57">
        <f>D84 * 2.9420678571</f>
        <v>0</v>
      </c>
      <c r="I84" s="52" t="s">
        <v>1584</v>
      </c>
      <c r="J84" s="52" t="s">
        <v>1622</v>
      </c>
      <c r="P84" s="64" t="s">
        <v>1625</v>
      </c>
    </row>
    <row r="85" spans="1:16" x14ac:dyDescent="0.25">
      <c r="A85" s="95"/>
      <c r="B85" s="52" t="s">
        <v>1626</v>
      </c>
      <c r="C85" s="52" t="s">
        <v>72</v>
      </c>
      <c r="D85" s="50"/>
      <c r="E85" s="56">
        <f t="shared" si="0"/>
        <v>0</v>
      </c>
      <c r="F85" s="57">
        <f>D85 * 0.3608</f>
        <v>0</v>
      </c>
      <c r="G85" s="57">
        <f t="shared" si="3"/>
        <v>0</v>
      </c>
      <c r="H85" s="57">
        <f>D85 * 0</f>
        <v>0</v>
      </c>
      <c r="I85" s="52" t="s">
        <v>1580</v>
      </c>
      <c r="J85" s="52" t="s">
        <v>1627</v>
      </c>
      <c r="P85" s="64" t="s">
        <v>1628</v>
      </c>
    </row>
    <row r="86" spans="1:16" x14ac:dyDescent="0.25">
      <c r="A86" s="95"/>
      <c r="B86" s="52" t="s">
        <v>1629</v>
      </c>
      <c r="C86" s="52" t="s">
        <v>72</v>
      </c>
      <c r="D86" s="50"/>
      <c r="E86" s="56">
        <f t="shared" si="0"/>
        <v>0</v>
      </c>
      <c r="F86" s="57">
        <f>D86 * 0.4766666667</f>
        <v>0</v>
      </c>
      <c r="G86" s="57">
        <f t="shared" si="3"/>
        <v>0</v>
      </c>
      <c r="H86" s="57">
        <f>D86 * 0</f>
        <v>0</v>
      </c>
      <c r="I86" s="52" t="s">
        <v>1630</v>
      </c>
      <c r="J86" s="52" t="s">
        <v>1627</v>
      </c>
      <c r="P86" s="64" t="s">
        <v>1631</v>
      </c>
    </row>
    <row r="87" spans="1:16" x14ac:dyDescent="0.25">
      <c r="A87" s="95" t="s">
        <v>1632</v>
      </c>
      <c r="B87" s="52" t="s">
        <v>1578</v>
      </c>
      <c r="C87" s="52" t="s">
        <v>1579</v>
      </c>
      <c r="D87" s="50"/>
      <c r="E87" s="56">
        <f t="shared" si="0"/>
        <v>0</v>
      </c>
      <c r="F87" s="57">
        <f t="shared" ref="F87:F96" si="4">D87 * 0</f>
        <v>0</v>
      </c>
      <c r="G87" s="57">
        <f t="shared" si="3"/>
        <v>0</v>
      </c>
      <c r="H87" s="57">
        <f>D87 * 413.8807013185</f>
        <v>0</v>
      </c>
      <c r="I87" s="52" t="s">
        <v>1580</v>
      </c>
      <c r="J87" s="52" t="s">
        <v>1633</v>
      </c>
      <c r="P87" s="64" t="s">
        <v>1634</v>
      </c>
    </row>
    <row r="88" spans="1:16" x14ac:dyDescent="0.25">
      <c r="A88" s="95"/>
      <c r="B88" s="52" t="s">
        <v>1583</v>
      </c>
      <c r="C88" s="52" t="s">
        <v>1579</v>
      </c>
      <c r="D88" s="50"/>
      <c r="E88" s="56">
        <f t="shared" si="0"/>
        <v>0</v>
      </c>
      <c r="F88" s="57">
        <f t="shared" si="4"/>
        <v>0</v>
      </c>
      <c r="G88" s="57">
        <f t="shared" si="3"/>
        <v>0</v>
      </c>
      <c r="H88" s="57">
        <f>D88 * 243.5424253858</f>
        <v>0</v>
      </c>
      <c r="I88" s="52" t="s">
        <v>1584</v>
      </c>
      <c r="J88" s="52" t="s">
        <v>1633</v>
      </c>
      <c r="P88" s="64" t="s">
        <v>1635</v>
      </c>
    </row>
    <row r="89" spans="1:16" x14ac:dyDescent="0.25">
      <c r="A89" s="95"/>
      <c r="B89" s="52" t="s">
        <v>1586</v>
      </c>
      <c r="C89" s="52" t="s">
        <v>1579</v>
      </c>
      <c r="D89" s="50"/>
      <c r="E89" s="56">
        <f t="shared" si="0"/>
        <v>0</v>
      </c>
      <c r="F89" s="57">
        <f t="shared" si="4"/>
        <v>0</v>
      </c>
      <c r="G89" s="57">
        <f t="shared" si="3"/>
        <v>0</v>
      </c>
      <c r="H89" s="57">
        <f>D89 * 29.7616621223</f>
        <v>0</v>
      </c>
      <c r="I89" s="52" t="s">
        <v>1584</v>
      </c>
      <c r="J89" s="52" t="s">
        <v>1633</v>
      </c>
      <c r="P89" s="64" t="s">
        <v>1636</v>
      </c>
    </row>
    <row r="90" spans="1:16" x14ac:dyDescent="0.25">
      <c r="A90" s="95"/>
      <c r="B90" s="52" t="s">
        <v>1588</v>
      </c>
      <c r="C90" s="52" t="s">
        <v>1579</v>
      </c>
      <c r="D90" s="50"/>
      <c r="E90" s="56">
        <f t="shared" si="0"/>
        <v>0</v>
      </c>
      <c r="F90" s="57">
        <f t="shared" si="4"/>
        <v>0</v>
      </c>
      <c r="G90" s="57">
        <f t="shared" si="3"/>
        <v>0</v>
      </c>
      <c r="H90" s="57">
        <f>D90 * 70.7859316564</f>
        <v>0</v>
      </c>
      <c r="I90" s="52" t="s">
        <v>1584</v>
      </c>
      <c r="J90" s="52" t="s">
        <v>1633</v>
      </c>
      <c r="P90" s="64" t="s">
        <v>1637</v>
      </c>
    </row>
    <row r="91" spans="1:16" x14ac:dyDescent="0.25">
      <c r="A91" s="95"/>
      <c r="B91" s="52" t="s">
        <v>1590</v>
      </c>
      <c r="C91" s="52" t="s">
        <v>1579</v>
      </c>
      <c r="D91" s="50"/>
      <c r="E91" s="56">
        <f t="shared" si="0"/>
        <v>0</v>
      </c>
      <c r="F91" s="57">
        <f t="shared" si="4"/>
        <v>0</v>
      </c>
      <c r="G91" s="57">
        <f t="shared" si="3"/>
        <v>0</v>
      </c>
      <c r="H91" s="57">
        <f>D91 * 42.2383285081</f>
        <v>0</v>
      </c>
      <c r="I91" s="52" t="s">
        <v>1584</v>
      </c>
      <c r="J91" s="52" t="s">
        <v>1633</v>
      </c>
      <c r="P91" s="64" t="s">
        <v>1638</v>
      </c>
    </row>
    <row r="92" spans="1:16" x14ac:dyDescent="0.25">
      <c r="A92" s="95"/>
      <c r="B92" s="52" t="s">
        <v>1592</v>
      </c>
      <c r="C92" s="52" t="s">
        <v>1579</v>
      </c>
      <c r="D92" s="50"/>
      <c r="E92" s="56">
        <f t="shared" si="0"/>
        <v>0</v>
      </c>
      <c r="F92" s="57">
        <f t="shared" si="4"/>
        <v>0</v>
      </c>
      <c r="G92" s="57">
        <f t="shared" si="3"/>
        <v>0</v>
      </c>
      <c r="H92" s="57">
        <f>D92 * 61.5008015038</f>
        <v>0</v>
      </c>
      <c r="I92" s="52" t="s">
        <v>1584</v>
      </c>
      <c r="J92" s="52" t="s">
        <v>1633</v>
      </c>
      <c r="P92" s="64" t="s">
        <v>1639</v>
      </c>
    </row>
    <row r="93" spans="1:16" x14ac:dyDescent="0.25">
      <c r="A93" s="95"/>
      <c r="B93" s="52" t="s">
        <v>1594</v>
      </c>
      <c r="C93" s="52" t="s">
        <v>1579</v>
      </c>
      <c r="D93" s="50"/>
      <c r="E93" s="56">
        <f t="shared" si="0"/>
        <v>0</v>
      </c>
      <c r="F93" s="57">
        <f t="shared" si="4"/>
        <v>0</v>
      </c>
      <c r="G93" s="57">
        <f t="shared" si="3"/>
        <v>0</v>
      </c>
      <c r="H93" s="57">
        <f>D93 * 290.9211642857</f>
        <v>0</v>
      </c>
      <c r="I93" s="52" t="s">
        <v>1584</v>
      </c>
      <c r="J93" s="52" t="s">
        <v>1633</v>
      </c>
      <c r="P93" s="64" t="s">
        <v>1640</v>
      </c>
    </row>
    <row r="94" spans="1:16" x14ac:dyDescent="0.25">
      <c r="A94" s="95"/>
      <c r="B94" s="52" t="s">
        <v>1596</v>
      </c>
      <c r="C94" s="52" t="s">
        <v>1579</v>
      </c>
      <c r="D94" s="50"/>
      <c r="E94" s="56">
        <f t="shared" si="0"/>
        <v>0</v>
      </c>
      <c r="F94" s="57">
        <f t="shared" si="4"/>
        <v>0</v>
      </c>
      <c r="G94" s="57">
        <f t="shared" si="3"/>
        <v>0</v>
      </c>
      <c r="H94" s="57">
        <f>D94 * 63.088607483</f>
        <v>0</v>
      </c>
      <c r="I94" s="52" t="s">
        <v>1584</v>
      </c>
      <c r="J94" s="52" t="s">
        <v>1633</v>
      </c>
      <c r="P94" s="64" t="s">
        <v>1641</v>
      </c>
    </row>
    <row r="95" spans="1:16" x14ac:dyDescent="0.25">
      <c r="A95" s="95"/>
      <c r="B95" s="52" t="s">
        <v>1598</v>
      </c>
      <c r="C95" s="52" t="s">
        <v>1579</v>
      </c>
      <c r="D95" s="50"/>
      <c r="E95" s="56">
        <f t="shared" si="0"/>
        <v>0</v>
      </c>
      <c r="F95" s="57">
        <f t="shared" si="4"/>
        <v>0</v>
      </c>
      <c r="G95" s="57">
        <f t="shared" si="3"/>
        <v>0</v>
      </c>
      <c r="H95" s="57">
        <f>D95 * 129.592155</f>
        <v>0</v>
      </c>
      <c r="I95" s="52" t="s">
        <v>1584</v>
      </c>
      <c r="J95" s="52" t="s">
        <v>1633</v>
      </c>
      <c r="P95" s="64" t="s">
        <v>1642</v>
      </c>
    </row>
    <row r="96" spans="1:16" x14ac:dyDescent="0.25">
      <c r="A96" s="95"/>
      <c r="B96" s="52" t="s">
        <v>1413</v>
      </c>
      <c r="C96" s="52" t="s">
        <v>1579</v>
      </c>
      <c r="D96" s="50"/>
      <c r="E96" s="56">
        <f t="shared" si="0"/>
        <v>0</v>
      </c>
      <c r="F96" s="57">
        <f t="shared" si="4"/>
        <v>0</v>
      </c>
      <c r="G96" s="57">
        <f t="shared" si="3"/>
        <v>0</v>
      </c>
      <c r="H96" s="57">
        <f>D96 * 1.5459236306</f>
        <v>0</v>
      </c>
      <c r="I96" s="52" t="s">
        <v>1584</v>
      </c>
      <c r="J96" s="52" t="s">
        <v>1633</v>
      </c>
      <c r="P96" s="64" t="s">
        <v>1643</v>
      </c>
    </row>
    <row r="97" spans="4:8" x14ac:dyDescent="0.25">
      <c r="D97" s="65" t="s">
        <v>116</v>
      </c>
      <c r="E97" s="56">
        <f>SUM(E62:E96)</f>
        <v>0</v>
      </c>
      <c r="F97" s="57">
        <f>SUM(F62:F96)</f>
        <v>0</v>
      </c>
      <c r="G97" s="57">
        <f>SUM(G62:G96)</f>
        <v>0</v>
      </c>
      <c r="H97" s="57">
        <f>SUM(H62:H96)</f>
        <v>0</v>
      </c>
    </row>
  </sheetData>
  <mergeCells count="36">
    <mergeCell ref="A1:J1"/>
    <mergeCell ref="A2:J2"/>
    <mergeCell ref="A4:J4"/>
    <mergeCell ref="A5:J5"/>
    <mergeCell ref="A6:J6"/>
    <mergeCell ref="A14:G14"/>
    <mergeCell ref="A15:B15"/>
    <mergeCell ref="A16:A19"/>
    <mergeCell ref="A20:A24"/>
    <mergeCell ref="A25:A27"/>
    <mergeCell ref="A30:J30"/>
    <mergeCell ref="A31:B31"/>
    <mergeCell ref="B32:J32"/>
    <mergeCell ref="B34:J34"/>
    <mergeCell ref="B36:J36"/>
    <mergeCell ref="B38:J38"/>
    <mergeCell ref="B40:J40"/>
    <mergeCell ref="B43:J43"/>
    <mergeCell ref="B46:J46"/>
    <mergeCell ref="B49:J49"/>
    <mergeCell ref="A87:A96"/>
    <mergeCell ref="A8:D8"/>
    <mergeCell ref="A9:D9"/>
    <mergeCell ref="A10:D10"/>
    <mergeCell ref="A11:D11"/>
    <mergeCell ref="A60:J60"/>
    <mergeCell ref="A61:B61"/>
    <mergeCell ref="A62:A71"/>
    <mergeCell ref="A72:A81"/>
    <mergeCell ref="A82:A86"/>
    <mergeCell ref="B52:J52"/>
    <mergeCell ref="B54:J54"/>
    <mergeCell ref="B56:J56"/>
    <mergeCell ref="A32:A39"/>
    <mergeCell ref="A40:A51"/>
    <mergeCell ref="A52:A57"/>
  </mergeCells>
  <pageMargins left="0.7" right="0.7" top="0.75" bottom="0.75" header="0.3" footer="0.3"/>
  <pageSetup paperSize="9" orientation="portrait" horizontalDpi="300" verticalDpi="300"/>
  <headerFooter>
    <oddHeader>&amp;C&amp;"Calibri"&amp;9&amp;K000000 [IN-CONFIDENCE]&amp;1#_x000D_</oddHeader>
    <oddFooter>&amp;C_x000D_&amp;1#&amp;"Calibri"&amp;9&amp;K000000 [IN-CONFIDENCE]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0"/>
  <sheetViews>
    <sheetView showGridLines="0" topLeftCell="A24" workbookViewId="0">
      <selection activeCell="A24" sqref="A24"/>
    </sheetView>
  </sheetViews>
  <sheetFormatPr defaultColWidth="11.42578125" defaultRowHeight="15" x14ac:dyDescent="0.25"/>
  <cols>
    <col min="1" max="1" width="19.5703125" customWidth="1"/>
    <col min="2" max="2" width="27.5703125" customWidth="1"/>
    <col min="3" max="3" width="20" customWidth="1"/>
    <col min="4" max="4" width="24.140625" customWidth="1"/>
    <col min="5" max="5" width="16.85546875" customWidth="1"/>
    <col min="6" max="6" width="15.140625" customWidth="1"/>
    <col min="7" max="7" width="16.5703125" customWidth="1"/>
    <col min="8" max="8" width="15.140625" customWidth="1"/>
  </cols>
  <sheetData>
    <row r="1" spans="1:8" ht="31.15" customHeight="1" x14ac:dyDescent="0.25">
      <c r="A1" s="51" t="s">
        <v>1644</v>
      </c>
    </row>
    <row r="2" spans="1:8" ht="23.45" customHeight="1" x14ac:dyDescent="0.35">
      <c r="A2" s="99" t="s">
        <v>1645</v>
      </c>
      <c r="B2" s="105"/>
      <c r="C2" s="105"/>
      <c r="D2" s="105"/>
      <c r="E2" s="105"/>
      <c r="F2" s="105"/>
      <c r="G2" s="105"/>
      <c r="H2" s="105"/>
    </row>
    <row r="3" spans="1:8" ht="23.45" customHeight="1" x14ac:dyDescent="0.35">
      <c r="A3" s="25"/>
      <c r="B3" s="25"/>
      <c r="C3" s="25"/>
      <c r="D3" s="25"/>
      <c r="E3" s="25"/>
      <c r="F3" s="25"/>
      <c r="G3" s="25"/>
      <c r="H3" s="25"/>
    </row>
    <row r="4" spans="1:8" ht="28.9" customHeight="1" x14ac:dyDescent="0.25">
      <c r="A4" s="28" t="s">
        <v>49</v>
      </c>
      <c r="B4" s="106" t="s">
        <v>1646</v>
      </c>
      <c r="C4" s="106"/>
      <c r="D4" s="106"/>
      <c r="E4" s="106"/>
      <c r="F4" s="106"/>
      <c r="G4" s="106"/>
      <c r="H4" s="106"/>
    </row>
    <row r="5" spans="1:8" x14ac:dyDescent="0.25">
      <c r="B5" s="26"/>
    </row>
    <row r="6" spans="1:8" x14ac:dyDescent="0.25">
      <c r="A6" s="26"/>
      <c r="B6" s="26"/>
    </row>
    <row r="8" spans="1:8" x14ac:dyDescent="0.25">
      <c r="B8" s="29" t="s">
        <v>1647</v>
      </c>
      <c r="C8" s="29"/>
      <c r="D8" s="29"/>
      <c r="E8" s="29"/>
    </row>
    <row r="9" spans="1:8" x14ac:dyDescent="0.25">
      <c r="B9" s="30" t="s">
        <v>1648</v>
      </c>
      <c r="C9" s="30" t="s">
        <v>1649</v>
      </c>
      <c r="D9" s="30" t="s">
        <v>1650</v>
      </c>
      <c r="E9" s="30" t="s">
        <v>1651</v>
      </c>
    </row>
    <row r="10" spans="1:8" x14ac:dyDescent="0.25">
      <c r="B10" s="32" t="s">
        <v>1652</v>
      </c>
      <c r="C10" s="70" t="s">
        <v>1653</v>
      </c>
      <c r="D10" s="71">
        <v>1000</v>
      </c>
      <c r="E10" s="72">
        <v>1000</v>
      </c>
    </row>
    <row r="11" spans="1:8" x14ac:dyDescent="0.25">
      <c r="B11" s="32" t="s">
        <v>1654</v>
      </c>
      <c r="C11" s="70" t="s">
        <v>1655</v>
      </c>
      <c r="D11" s="73">
        <v>1000000</v>
      </c>
      <c r="E11" s="72">
        <v>1000000</v>
      </c>
    </row>
    <row r="12" spans="1:8" x14ac:dyDescent="0.25">
      <c r="B12" s="32" t="s">
        <v>1656</v>
      </c>
      <c r="C12" s="70" t="s">
        <v>1657</v>
      </c>
      <c r="D12" s="71">
        <v>1000000000</v>
      </c>
      <c r="E12" s="72">
        <v>1000000000</v>
      </c>
    </row>
    <row r="13" spans="1:8" x14ac:dyDescent="0.25">
      <c r="B13" s="32" t="s">
        <v>1658</v>
      </c>
      <c r="C13" s="70" t="s">
        <v>1659</v>
      </c>
      <c r="D13" s="73">
        <v>1000000000000</v>
      </c>
      <c r="E13" s="70">
        <v>1000000000000</v>
      </c>
    </row>
    <row r="14" spans="1:8" x14ac:dyDescent="0.25">
      <c r="B14" s="32" t="s">
        <v>1660</v>
      </c>
      <c r="C14" s="70" t="s">
        <v>1661</v>
      </c>
      <c r="D14" s="73">
        <v>1000000000000000</v>
      </c>
      <c r="E14" s="70">
        <v>1000000000000000</v>
      </c>
    </row>
    <row r="17" spans="2:8" x14ac:dyDescent="0.25">
      <c r="B17" s="29" t="s">
        <v>1662</v>
      </c>
      <c r="C17" s="29"/>
      <c r="D17" s="29"/>
      <c r="E17" s="29"/>
      <c r="F17" s="29"/>
      <c r="G17" s="29"/>
    </row>
    <row r="18" spans="2:8" x14ac:dyDescent="0.25">
      <c r="B18" s="31"/>
      <c r="C18" s="30" t="s">
        <v>103</v>
      </c>
      <c r="D18" s="30" t="s">
        <v>101</v>
      </c>
      <c r="E18" s="30" t="s">
        <v>1663</v>
      </c>
      <c r="F18" s="30" t="s">
        <v>1664</v>
      </c>
      <c r="G18" s="30" t="s">
        <v>1665</v>
      </c>
    </row>
    <row r="19" spans="2:8" x14ac:dyDescent="0.25">
      <c r="B19" s="32" t="s">
        <v>1666</v>
      </c>
      <c r="C19" s="33"/>
      <c r="D19" s="34">
        <v>277.77777777799997</v>
      </c>
      <c r="E19" s="35">
        <v>9.4781707770000008</v>
      </c>
      <c r="F19" s="35">
        <v>2.3884590000000001E-2</v>
      </c>
      <c r="G19" s="36">
        <v>238902.95761861501</v>
      </c>
    </row>
    <row r="20" spans="2:8" x14ac:dyDescent="0.25">
      <c r="B20" s="32" t="s">
        <v>1667</v>
      </c>
      <c r="C20" s="37">
        <v>3.5999999999999999E-3</v>
      </c>
      <c r="D20" s="33"/>
      <c r="E20" s="35">
        <v>3.4121414797172706E-2</v>
      </c>
      <c r="F20" s="35">
        <v>8.5984523999931223E-5</v>
      </c>
      <c r="G20" s="34">
        <v>860.05064742632601</v>
      </c>
    </row>
    <row r="21" spans="2:8" x14ac:dyDescent="0.25">
      <c r="B21" s="32" t="s">
        <v>1668</v>
      </c>
      <c r="C21" s="38">
        <v>0.10551000000000001</v>
      </c>
      <c r="D21" s="39">
        <v>29.307108334876538</v>
      </c>
      <c r="E21" s="33"/>
      <c r="F21" s="35">
        <v>2.5199577599887761E-3</v>
      </c>
      <c r="G21" s="36">
        <v>25205.597497604045</v>
      </c>
    </row>
    <row r="22" spans="2:8" x14ac:dyDescent="0.25">
      <c r="B22" s="32" t="s">
        <v>1669</v>
      </c>
      <c r="C22" s="40">
        <v>41.868000000000002</v>
      </c>
      <c r="D22" s="36">
        <v>11629.999835793706</v>
      </c>
      <c r="E22" s="34">
        <v>396.83204848816752</v>
      </c>
      <c r="F22" s="33"/>
      <c r="G22" s="36">
        <v>10002388.888342442</v>
      </c>
    </row>
    <row r="23" spans="2:8" x14ac:dyDescent="0.25">
      <c r="B23" s="32" t="s">
        <v>1670</v>
      </c>
      <c r="C23" s="38">
        <v>4.1860000000000002E-6</v>
      </c>
      <c r="D23" s="41">
        <v>1.1627222222231539E-3</v>
      </c>
      <c r="E23" s="42">
        <v>3.9673727238366659E-5</v>
      </c>
      <c r="F23" s="42">
        <v>9.9976116822000138E-8</v>
      </c>
      <c r="G23" s="33"/>
    </row>
    <row r="26" spans="2:8" x14ac:dyDescent="0.25">
      <c r="B26" s="29" t="s">
        <v>1671</v>
      </c>
      <c r="C26" s="29"/>
      <c r="D26" s="29"/>
      <c r="E26" s="29"/>
      <c r="F26" s="29"/>
      <c r="G26" s="29"/>
      <c r="H26" s="29"/>
    </row>
    <row r="27" spans="2:8" ht="16.149999999999999" customHeight="1" x14ac:dyDescent="0.25">
      <c r="B27" s="31"/>
      <c r="C27" s="30" t="s">
        <v>1672</v>
      </c>
      <c r="D27" s="30" t="s">
        <v>1673</v>
      </c>
      <c r="E27" s="30" t="s">
        <v>1674</v>
      </c>
      <c r="F27" s="30" t="s">
        <v>1675</v>
      </c>
      <c r="G27" s="30" t="s">
        <v>1676</v>
      </c>
      <c r="H27" s="30" t="s">
        <v>1677</v>
      </c>
    </row>
    <row r="28" spans="2:8" x14ac:dyDescent="0.25">
      <c r="B28" s="31" t="s">
        <v>1678</v>
      </c>
      <c r="C28" s="33"/>
      <c r="D28" s="43">
        <v>1E-3</v>
      </c>
      <c r="E28" s="38">
        <v>3.5314667000000001E-2</v>
      </c>
      <c r="F28" s="38">
        <v>0.21996924800000001</v>
      </c>
      <c r="G28" s="38">
        <v>0.26417205100000002</v>
      </c>
      <c r="H28" s="44">
        <v>6.2898110000000002E-3</v>
      </c>
    </row>
    <row r="29" spans="2:8" ht="16.149999999999999" customHeight="1" x14ac:dyDescent="0.25">
      <c r="B29" s="31" t="s">
        <v>1679</v>
      </c>
      <c r="C29" s="37">
        <v>1000</v>
      </c>
      <c r="D29" s="33"/>
      <c r="E29" s="43">
        <v>35.314667</v>
      </c>
      <c r="F29" s="40">
        <v>219.96924799999999</v>
      </c>
      <c r="G29" s="40">
        <v>264.17205100000001</v>
      </c>
      <c r="H29" s="45">
        <v>6.2898110000000003</v>
      </c>
    </row>
    <row r="30" spans="2:8" x14ac:dyDescent="0.25">
      <c r="B30" s="31" t="s">
        <v>1680</v>
      </c>
      <c r="C30" s="43">
        <v>28.316846368677353</v>
      </c>
      <c r="D30" s="38">
        <v>2.8316846368677356E-2</v>
      </c>
      <c r="E30" s="33"/>
      <c r="F30" s="45">
        <v>6.228835401449488</v>
      </c>
      <c r="G30" s="38">
        <v>7.4805193830653991</v>
      </c>
      <c r="H30" s="38">
        <v>0.17810761177501688</v>
      </c>
    </row>
    <row r="31" spans="2:8" x14ac:dyDescent="0.25">
      <c r="B31" s="31" t="s">
        <v>1681</v>
      </c>
      <c r="C31" s="45">
        <v>4.5460900061812275</v>
      </c>
      <c r="D31" s="38">
        <v>4.5460900061812274E-3</v>
      </c>
      <c r="E31" s="38">
        <v>0.16054365472031801</v>
      </c>
      <c r="F31" s="33"/>
      <c r="G31" s="38">
        <v>1.2009499209634977</v>
      </c>
      <c r="H31" s="46">
        <v>2.8594046927868752E-2</v>
      </c>
    </row>
    <row r="32" spans="2:8" x14ac:dyDescent="0.25">
      <c r="B32" s="31" t="s">
        <v>1676</v>
      </c>
      <c r="C32" s="45">
        <v>3.7854118034613733</v>
      </c>
      <c r="D32" s="44">
        <v>3.7854118034613732E-3</v>
      </c>
      <c r="E32" s="38">
        <v>0.13368055729710784</v>
      </c>
      <c r="F32" s="38">
        <v>0.83267418777772206</v>
      </c>
      <c r="G32" s="33"/>
      <c r="H32" s="46">
        <v>2.3809524800941183E-2</v>
      </c>
    </row>
    <row r="33" spans="2:8" x14ac:dyDescent="0.25">
      <c r="B33" s="31" t="s">
        <v>1682</v>
      </c>
      <c r="C33" s="40">
        <v>158.98728912522174</v>
      </c>
      <c r="D33" s="38">
        <v>0.15898728912522173</v>
      </c>
      <c r="E33" s="45">
        <v>5.6145831726899269</v>
      </c>
      <c r="F33" s="43">
        <v>34.972314430433606</v>
      </c>
      <c r="G33" s="37">
        <v>41.999998251139822</v>
      </c>
      <c r="H33" s="33"/>
    </row>
    <row r="34" spans="2:8" x14ac:dyDescent="0.25">
      <c r="B34" s="27"/>
      <c r="C34" s="27"/>
      <c r="D34" s="27"/>
      <c r="E34" s="27"/>
      <c r="F34" s="27"/>
      <c r="G34" s="27"/>
      <c r="H34" s="27"/>
    </row>
    <row r="35" spans="2:8" x14ac:dyDescent="0.25">
      <c r="B35" s="27"/>
      <c r="C35" s="27"/>
      <c r="D35" s="27"/>
      <c r="E35" s="27"/>
      <c r="F35" s="27"/>
      <c r="G35" s="27"/>
      <c r="H35" s="27"/>
    </row>
    <row r="36" spans="2:8" x14ac:dyDescent="0.25">
      <c r="B36" s="29" t="s">
        <v>1683</v>
      </c>
      <c r="C36" s="29"/>
      <c r="D36" s="29"/>
      <c r="E36" s="29"/>
      <c r="F36" s="29"/>
      <c r="G36" s="29"/>
      <c r="H36" s="27"/>
    </row>
    <row r="37" spans="2:8" x14ac:dyDescent="0.25">
      <c r="B37" s="31"/>
      <c r="C37" s="30" t="s">
        <v>72</v>
      </c>
      <c r="D37" s="30" t="s">
        <v>1684</v>
      </c>
      <c r="E37" s="30" t="s">
        <v>1685</v>
      </c>
      <c r="F37" s="30" t="s">
        <v>1686</v>
      </c>
      <c r="G37" s="30" t="s">
        <v>1687</v>
      </c>
      <c r="H37" s="27"/>
    </row>
    <row r="38" spans="2:8" x14ac:dyDescent="0.25">
      <c r="B38" s="31" t="s">
        <v>1688</v>
      </c>
      <c r="C38" s="33"/>
      <c r="D38" s="43">
        <v>1E-3</v>
      </c>
      <c r="E38" s="38">
        <v>9.8420699999999996E-4</v>
      </c>
      <c r="F38" s="38">
        <v>1.1023109999999999E-3</v>
      </c>
      <c r="G38" s="38">
        <v>2.2046236800000001</v>
      </c>
      <c r="H38" s="27"/>
    </row>
    <row r="39" spans="2:8" x14ac:dyDescent="0.25">
      <c r="B39" s="31" t="s">
        <v>1689</v>
      </c>
      <c r="C39" s="37">
        <v>1000</v>
      </c>
      <c r="D39" s="33"/>
      <c r="E39" s="38">
        <v>0.98420699999999994</v>
      </c>
      <c r="F39" s="38">
        <v>1.1023109999999998</v>
      </c>
      <c r="G39" s="38">
        <v>2204.6236800000001</v>
      </c>
      <c r="H39" s="27"/>
    </row>
    <row r="40" spans="2:8" x14ac:dyDescent="0.25">
      <c r="B40" s="31" t="s">
        <v>1690</v>
      </c>
      <c r="C40" s="38">
        <v>1016.0464211288886</v>
      </c>
      <c r="D40" s="38">
        <v>1.0160464211288887</v>
      </c>
      <c r="E40" s="33"/>
      <c r="F40" s="38">
        <v>1.1199991465210062</v>
      </c>
      <c r="G40" s="37">
        <v>2240</v>
      </c>
      <c r="H40" s="27"/>
    </row>
    <row r="41" spans="2:8" x14ac:dyDescent="0.25">
      <c r="B41" s="31" t="s">
        <v>1691</v>
      </c>
      <c r="C41" s="40">
        <v>907.18499588591612</v>
      </c>
      <c r="D41" s="38">
        <v>0.90718499588591617</v>
      </c>
      <c r="E41" s="38">
        <v>0.8928578232458898</v>
      </c>
      <c r="F41" s="33"/>
      <c r="G41" s="37">
        <v>2000.0015240707933</v>
      </c>
      <c r="H41" s="27"/>
    </row>
    <row r="42" spans="2:8" x14ac:dyDescent="0.25">
      <c r="B42" s="31" t="s">
        <v>1692</v>
      </c>
      <c r="C42" s="38">
        <v>0.45359215228968236</v>
      </c>
      <c r="D42" s="47">
        <v>4.5359215228968239E-4</v>
      </c>
      <c r="E42" s="47">
        <v>4.4642857142857141E-4</v>
      </c>
      <c r="F42" s="38">
        <v>4.9999961898259206E-4</v>
      </c>
      <c r="G42" s="33"/>
      <c r="H42" s="27"/>
    </row>
    <row r="43" spans="2:8" x14ac:dyDescent="0.25">
      <c r="B43" s="27"/>
      <c r="C43" s="27"/>
      <c r="D43" s="27"/>
      <c r="E43" s="27"/>
      <c r="F43" s="27"/>
      <c r="G43" s="27"/>
      <c r="H43" s="27"/>
    </row>
    <row r="44" spans="2:8" x14ac:dyDescent="0.25">
      <c r="B44" s="27"/>
      <c r="C44" s="27"/>
      <c r="D44" s="27"/>
      <c r="E44" s="27"/>
      <c r="F44" s="27"/>
      <c r="G44" s="27"/>
      <c r="H44" s="27"/>
    </row>
    <row r="45" spans="2:8" x14ac:dyDescent="0.25">
      <c r="B45" s="29" t="s">
        <v>1693</v>
      </c>
      <c r="C45" s="29"/>
      <c r="D45" s="29"/>
      <c r="E45" s="29"/>
      <c r="F45" s="29"/>
      <c r="G45" s="29"/>
      <c r="H45" s="27"/>
    </row>
    <row r="46" spans="2:8" x14ac:dyDescent="0.25">
      <c r="B46" s="31"/>
      <c r="C46" s="30" t="s">
        <v>1694</v>
      </c>
      <c r="D46" s="30" t="s">
        <v>1695</v>
      </c>
      <c r="E46" s="30" t="s">
        <v>1696</v>
      </c>
      <c r="F46" s="30" t="s">
        <v>626</v>
      </c>
      <c r="G46" s="30" t="s">
        <v>1697</v>
      </c>
      <c r="H46" s="27"/>
    </row>
    <row r="47" spans="2:8" x14ac:dyDescent="0.25">
      <c r="B47" s="31" t="s">
        <v>1698</v>
      </c>
      <c r="C47" s="33"/>
      <c r="D47" s="45">
        <v>3.2808398950000002</v>
      </c>
      <c r="E47" s="47">
        <v>6.2137119223733392E-4</v>
      </c>
      <c r="F47" s="48">
        <v>1E-3</v>
      </c>
      <c r="G47" s="47">
        <v>5.3995680351745805E-4</v>
      </c>
      <c r="H47" s="27"/>
    </row>
    <row r="48" spans="2:8" x14ac:dyDescent="0.25">
      <c r="B48" s="31" t="s">
        <v>1699</v>
      </c>
      <c r="C48" s="38">
        <v>0.30480000000121921</v>
      </c>
      <c r="D48" s="33"/>
      <c r="E48" s="43">
        <v>1.8939393939469695E-4</v>
      </c>
      <c r="F48" s="44">
        <v>3.0480000000121922E-4</v>
      </c>
      <c r="G48" s="47">
        <v>1.6457883371277953E-4</v>
      </c>
      <c r="H48" s="27"/>
    </row>
    <row r="49" spans="2:8" x14ac:dyDescent="0.25">
      <c r="B49" s="31" t="s">
        <v>1700</v>
      </c>
      <c r="C49" s="40">
        <v>1609.3440000000001</v>
      </c>
      <c r="D49" s="37">
        <v>5279.9999999788806</v>
      </c>
      <c r="E49" s="33"/>
      <c r="F49" s="38">
        <v>1.6093440000000001</v>
      </c>
      <c r="G49" s="38">
        <v>0.86897624200000001</v>
      </c>
      <c r="H49" s="27"/>
    </row>
    <row r="50" spans="2:8" x14ac:dyDescent="0.25">
      <c r="B50" s="31" t="s">
        <v>1701</v>
      </c>
      <c r="C50" s="37">
        <v>1000</v>
      </c>
      <c r="D50" s="49">
        <v>3280.8398950000001</v>
      </c>
      <c r="E50" s="38">
        <v>0.62137119223733395</v>
      </c>
      <c r="F50" s="33"/>
      <c r="G50" s="38">
        <v>0.53995680351745801</v>
      </c>
      <c r="H50" s="27"/>
    </row>
    <row r="51" spans="2:8" x14ac:dyDescent="0.25">
      <c r="B51" s="31" t="s">
        <v>1702</v>
      </c>
      <c r="C51" s="37">
        <v>1851.9999997882567</v>
      </c>
      <c r="D51" s="49">
        <v>6076.1154848453043</v>
      </c>
      <c r="E51" s="38">
        <v>1.1507794478919713</v>
      </c>
      <c r="F51" s="43">
        <v>1.8519999997882568</v>
      </c>
      <c r="G51" s="33"/>
      <c r="H51" s="27"/>
    </row>
    <row r="52" spans="2:8" x14ac:dyDescent="0.25">
      <c r="B52" s="27"/>
      <c r="C52" s="27"/>
      <c r="D52" s="27"/>
      <c r="E52" s="27"/>
      <c r="F52" s="27"/>
      <c r="G52" s="27"/>
      <c r="H52" s="27"/>
    </row>
    <row r="53" spans="2:8" x14ac:dyDescent="0.25">
      <c r="B53" s="27"/>
      <c r="C53" s="27"/>
      <c r="D53" s="27"/>
      <c r="E53" s="27"/>
      <c r="F53" s="27"/>
      <c r="G53" s="27"/>
      <c r="H53" s="27"/>
    </row>
    <row r="54" spans="2:8" x14ac:dyDescent="0.25">
      <c r="B54" s="29" t="s">
        <v>1693</v>
      </c>
      <c r="C54" s="29"/>
      <c r="D54" s="29"/>
      <c r="E54" s="29"/>
      <c r="F54" s="29"/>
      <c r="G54" s="29"/>
      <c r="H54" s="27"/>
    </row>
    <row r="55" spans="2:8" x14ac:dyDescent="0.25">
      <c r="B55" s="31"/>
      <c r="C55" s="30" t="s">
        <v>1694</v>
      </c>
      <c r="D55" s="30" t="s">
        <v>1695</v>
      </c>
      <c r="E55" s="30" t="s">
        <v>1703</v>
      </c>
      <c r="F55" s="30" t="s">
        <v>1704</v>
      </c>
      <c r="G55" s="30" t="s">
        <v>1705</v>
      </c>
      <c r="H55" s="27"/>
    </row>
    <row r="56" spans="2:8" x14ac:dyDescent="0.25">
      <c r="B56" s="31" t="s">
        <v>1698</v>
      </c>
      <c r="C56" s="33"/>
      <c r="D56" s="38">
        <v>3.2808398950000002</v>
      </c>
      <c r="E56" s="38">
        <v>39.370078739999997</v>
      </c>
      <c r="F56" s="37">
        <v>100</v>
      </c>
      <c r="G56" s="38">
        <v>1.093613298</v>
      </c>
      <c r="H56" s="27"/>
    </row>
    <row r="57" spans="2:8" x14ac:dyDescent="0.25">
      <c r="B57" s="31" t="s">
        <v>1699</v>
      </c>
      <c r="C57" s="38">
        <v>0.30480000000121921</v>
      </c>
      <c r="D57" s="33"/>
      <c r="E57" s="37">
        <v>12</v>
      </c>
      <c r="F57" s="38">
        <v>30.480000000121919</v>
      </c>
      <c r="G57" s="38">
        <v>0.33333333323173331</v>
      </c>
      <c r="H57" s="27"/>
    </row>
    <row r="58" spans="2:8" x14ac:dyDescent="0.25">
      <c r="B58" s="31" t="s">
        <v>1706</v>
      </c>
      <c r="C58" s="38">
        <v>2.5400000000101602E-2</v>
      </c>
      <c r="D58" s="38">
        <v>8.3333333333333343E-2</v>
      </c>
      <c r="E58" s="33"/>
      <c r="F58" s="38">
        <v>2.5400000000101604</v>
      </c>
      <c r="G58" s="38">
        <v>2.7777777769311111E-2</v>
      </c>
      <c r="H58" s="27"/>
    </row>
    <row r="59" spans="2:8" x14ac:dyDescent="0.25">
      <c r="B59" s="31" t="s">
        <v>1707</v>
      </c>
      <c r="C59" s="40">
        <v>0.01</v>
      </c>
      <c r="D59" s="38">
        <v>3.2808398950000005E-2</v>
      </c>
      <c r="E59" s="38">
        <v>0.39370078739999997</v>
      </c>
      <c r="F59" s="33"/>
      <c r="G59" s="38">
        <v>1.0936132979999999E-2</v>
      </c>
      <c r="H59" s="27"/>
    </row>
    <row r="60" spans="2:8" x14ac:dyDescent="0.25">
      <c r="B60" s="31" t="s">
        <v>1708</v>
      </c>
      <c r="C60" s="38">
        <v>0.91440000028236679</v>
      </c>
      <c r="D60" s="37">
        <v>3.0000000009144006</v>
      </c>
      <c r="E60" s="37">
        <v>36.000000010972798</v>
      </c>
      <c r="F60" s="38">
        <v>91.440000028236682</v>
      </c>
      <c r="G60" s="33"/>
      <c r="H60" s="27"/>
    </row>
  </sheetData>
  <mergeCells count="2">
    <mergeCell ref="A2:H2"/>
    <mergeCell ref="B4:H4"/>
  </mergeCells>
  <pageMargins left="0.7" right="0.7" top="0.75" bottom="0.75" header="0.3" footer="0.3"/>
  <pageSetup orientation="portrait" horizontalDpi="1200" verticalDpi="1200"/>
  <headerFooter>
    <oddHeader>&amp;C&amp;"Calibri"&amp;9&amp;K000000 [IN-CONFIDENCE]&amp;1#_x000D_</oddHeader>
    <oddFooter>&amp;C_x000D_&amp;1#&amp;"Calibri"&amp;9&amp;K000000 [IN-CONFIDENCE]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6"/>
  <sheetViews>
    <sheetView showGridLines="0" zoomScale="110" zoomScaleNormal="110" workbookViewId="0">
      <selection activeCell="A3" sqref="A3:F3"/>
    </sheetView>
  </sheetViews>
  <sheetFormatPr defaultColWidth="11.42578125" defaultRowHeight="15" x14ac:dyDescent="0.25"/>
  <cols>
    <col min="1" max="1" width="18.28515625" customWidth="1"/>
    <col min="2" max="2" width="36.85546875" customWidth="1"/>
    <col min="3" max="6" width="18.85546875" customWidth="1"/>
  </cols>
  <sheetData>
    <row r="1" spans="1:11" ht="31.15" customHeight="1" x14ac:dyDescent="0.5">
      <c r="A1" s="4" t="s">
        <v>17</v>
      </c>
      <c r="B1" s="4"/>
      <c r="C1" s="6"/>
      <c r="D1" s="6"/>
      <c r="E1" s="6"/>
      <c r="G1" s="6"/>
      <c r="H1" s="6"/>
      <c r="I1" s="6"/>
      <c r="J1" s="6"/>
      <c r="K1" s="6"/>
    </row>
    <row r="2" spans="1:11" ht="31.15" customHeight="1" x14ac:dyDescent="0.25">
      <c r="A2" s="79" t="s">
        <v>1709</v>
      </c>
      <c r="B2" s="6"/>
      <c r="C2" s="6"/>
      <c r="D2" s="6"/>
      <c r="E2" s="6"/>
      <c r="G2" s="6"/>
      <c r="H2" s="6"/>
      <c r="I2" s="6"/>
      <c r="J2" s="6"/>
      <c r="K2" s="6"/>
    </row>
    <row r="3" spans="1:11" ht="31.5" customHeight="1" x14ac:dyDescent="0.25">
      <c r="A3" s="82" t="s">
        <v>18</v>
      </c>
      <c r="B3" s="82"/>
      <c r="C3" s="82"/>
      <c r="D3" s="82"/>
      <c r="E3" s="82"/>
      <c r="F3" s="82"/>
      <c r="G3" s="6"/>
      <c r="H3" s="6"/>
      <c r="I3" s="6"/>
      <c r="J3" s="6"/>
      <c r="K3" s="6"/>
    </row>
    <row r="4" spans="1:11" ht="31.15" customHeight="1" x14ac:dyDescent="0.5">
      <c r="A4" s="6"/>
      <c r="B4" s="4"/>
      <c r="C4" s="6"/>
      <c r="D4" s="6"/>
      <c r="E4" s="6"/>
      <c r="F4" s="6"/>
      <c r="G4" s="6"/>
      <c r="H4" s="6"/>
      <c r="I4" s="6"/>
      <c r="J4" s="6"/>
      <c r="K4" s="6"/>
    </row>
    <row r="5" spans="1:11" x14ac:dyDescent="0.25">
      <c r="A5" s="6"/>
      <c r="B5" s="91" t="s">
        <v>19</v>
      </c>
      <c r="C5" s="91"/>
      <c r="D5" s="91"/>
      <c r="E5" s="91"/>
      <c r="F5" s="91"/>
      <c r="G5" s="6"/>
      <c r="H5" s="6"/>
      <c r="I5" s="6"/>
      <c r="J5" s="6"/>
      <c r="K5" s="6"/>
    </row>
    <row r="6" spans="1:11" ht="18" customHeight="1" x14ac:dyDescent="0.25">
      <c r="A6" s="85" t="s">
        <v>20</v>
      </c>
      <c r="B6" s="85" t="s">
        <v>21</v>
      </c>
      <c r="C6" s="86" t="s">
        <v>22</v>
      </c>
      <c r="D6" s="88" t="s">
        <v>23</v>
      </c>
      <c r="E6" s="88" t="s">
        <v>24</v>
      </c>
      <c r="F6" s="88" t="s">
        <v>25</v>
      </c>
      <c r="G6" s="6"/>
      <c r="H6" s="6"/>
      <c r="I6" s="6"/>
      <c r="J6" s="6"/>
      <c r="K6" s="6"/>
    </row>
    <row r="7" spans="1:11" x14ac:dyDescent="0.25">
      <c r="A7" s="85"/>
      <c r="B7" s="85"/>
      <c r="C7" s="87"/>
      <c r="D7" s="89"/>
      <c r="E7" s="89"/>
      <c r="F7" s="89"/>
      <c r="G7" s="6"/>
      <c r="H7" s="6"/>
      <c r="I7" s="13"/>
      <c r="J7" s="13"/>
      <c r="K7" s="13"/>
    </row>
    <row r="8" spans="1:11" x14ac:dyDescent="0.25">
      <c r="A8" s="55" t="s">
        <v>26</v>
      </c>
      <c r="B8" s="20" t="s">
        <v>27</v>
      </c>
      <c r="C8" s="56">
        <f>SUM(Fuel!E41,Fuel!E56,Fuel!E76)</f>
        <v>0</v>
      </c>
      <c r="D8" s="57">
        <f>SUM(Fuel!F41,Fuel!F56,Fuel!I76)</f>
        <v>0</v>
      </c>
      <c r="E8" s="57">
        <f>SUM(Fuel!G41,Fuel!G56,Fuel!G76)</f>
        <v>0</v>
      </c>
      <c r="F8" s="57">
        <f>SUM(Fuel!H41,Fuel!H56,Fuel!H76)</f>
        <v>0</v>
      </c>
      <c r="G8" s="6"/>
      <c r="H8" s="6"/>
      <c r="I8" s="6"/>
      <c r="J8" s="6"/>
      <c r="K8" s="6"/>
    </row>
    <row r="9" spans="1:11" x14ac:dyDescent="0.25">
      <c r="A9" s="55" t="s">
        <v>28</v>
      </c>
      <c r="B9" s="20" t="s">
        <v>29</v>
      </c>
      <c r="C9" s="56">
        <f>SUM('T&amp;D losses'!F12+'T&amp;D losses'!F29)</f>
        <v>0</v>
      </c>
      <c r="D9" s="57">
        <f>SUM('T&amp;D losses'!G12+'T&amp;D losses'!G29)</f>
        <v>0</v>
      </c>
      <c r="E9" s="57">
        <f>SUM('T&amp;D losses'!H12+'T&amp;D losses'!H29)</f>
        <v>0</v>
      </c>
      <c r="F9" s="57">
        <f>SUM('T&amp;D losses'!I12+'T&amp;D losses'!I29)</f>
        <v>0</v>
      </c>
      <c r="G9" s="6"/>
      <c r="H9" s="6"/>
      <c r="I9" s="6"/>
      <c r="J9" s="6"/>
      <c r="K9" s="6"/>
    </row>
    <row r="10" spans="1:11" x14ac:dyDescent="0.25">
      <c r="A10" s="55" t="s">
        <v>30</v>
      </c>
      <c r="B10" s="20" t="s">
        <v>31</v>
      </c>
      <c r="C10" s="56">
        <f>SUM('Purchased energy'!E40+'Purchased energy'!E23)</f>
        <v>0</v>
      </c>
      <c r="D10" s="57">
        <f>SUM('Purchased energy'!F40+'Purchased energy'!F23)</f>
        <v>0</v>
      </c>
      <c r="E10" s="57">
        <f>SUM('Purchased energy'!G40+'Purchased energy'!G23)</f>
        <v>0</v>
      </c>
      <c r="F10" s="57">
        <f>SUM('Purchased energy'!H40+'Purchased energy'!H23)</f>
        <v>0</v>
      </c>
      <c r="G10" s="6"/>
      <c r="H10" s="6"/>
      <c r="I10" s="6"/>
      <c r="J10" s="6"/>
      <c r="K10" s="6"/>
    </row>
    <row r="11" spans="1:11" x14ac:dyDescent="0.25">
      <c r="A11" s="55" t="s">
        <v>28</v>
      </c>
      <c r="B11" s="20" t="s">
        <v>32</v>
      </c>
      <c r="C11" s="56">
        <f>SUM('Working from home'!E13)</f>
        <v>0</v>
      </c>
      <c r="D11" s="57">
        <f>SUM('Working from home'!F13)</f>
        <v>0</v>
      </c>
      <c r="E11" s="57">
        <f>SUM('Working from home'!G13)</f>
        <v>0</v>
      </c>
      <c r="F11" s="57">
        <f>SUM('Working from home'!H13)</f>
        <v>0</v>
      </c>
      <c r="G11" s="6"/>
      <c r="H11" s="6"/>
      <c r="I11" s="6"/>
      <c r="J11" s="6"/>
      <c r="K11" s="6"/>
    </row>
    <row r="12" spans="1:11" x14ac:dyDescent="0.25">
      <c r="A12" s="55" t="s">
        <v>26</v>
      </c>
      <c r="B12" s="20" t="s">
        <v>33</v>
      </c>
      <c r="C12" s="56">
        <f>SUM('Refrigerants &amp; other gases'!F122)</f>
        <v>0</v>
      </c>
      <c r="D12" s="57">
        <f>SUM('Refrigerants &amp; other gases'!G122)</f>
        <v>0</v>
      </c>
      <c r="E12" s="57">
        <f>SUM('Refrigerants &amp; other gases'!H122)</f>
        <v>0</v>
      </c>
      <c r="F12" s="57">
        <f>SUM('Refrigerants &amp; other gases'!I122)</f>
        <v>0</v>
      </c>
      <c r="G12" s="6"/>
      <c r="H12" s="6"/>
      <c r="I12" s="6"/>
      <c r="J12" s="6"/>
      <c r="K12" s="6"/>
    </row>
    <row r="13" spans="1:11" x14ac:dyDescent="0.25">
      <c r="A13" s="55" t="s">
        <v>28</v>
      </c>
      <c r="B13" s="20" t="s">
        <v>34</v>
      </c>
      <c r="C13" s="56">
        <f>SUM(Travel!E22,Travel!E53,Travel!E116,Travel!E179,Travel!E242,Travel!E270,Travel!E283,Travel!E292,Travel!E301,Travel!E315,Travel!E329,Travel!E338,Travel!E399)</f>
        <v>0</v>
      </c>
      <c r="D13" s="57">
        <f>SUM(Travel!F22,Travel!F53,Travel!F116,Travel!F179,Travel!F242,Travel!F270,Travel!F283,Travel!F292,Travel!F301,Travel!F315,Travel!F329,Travel!F338,Travel!F399)</f>
        <v>0</v>
      </c>
      <c r="E13" s="57">
        <f>SUM(Travel!G22,Travel!G53,Travel!G116,Travel!G179,Travel!G242,Travel!G270,Travel!G283,Travel!G292,Travel!G301,Travel!G315,Travel!G329,Travel!G338,Travel!G399)</f>
        <v>0</v>
      </c>
      <c r="F13" s="57">
        <f>SUM(Travel!H22,Travel!H53,Travel!H116,Travel!H179,Travel!H242,Travel!H270,Travel!H283,Travel!H292,Travel!H301,Travel!H315,Travel!H329,Travel!H338,Travel!H399)</f>
        <v>0</v>
      </c>
      <c r="G13" s="6"/>
      <c r="H13" s="6"/>
      <c r="I13" s="6"/>
      <c r="J13" s="6"/>
      <c r="K13" s="6"/>
    </row>
    <row r="14" spans="1:11" x14ac:dyDescent="0.25">
      <c r="A14" s="55" t="s">
        <v>28</v>
      </c>
      <c r="B14" s="20" t="s">
        <v>35</v>
      </c>
      <c r="C14" s="56">
        <f>'Freight transport'!E9</f>
        <v>0</v>
      </c>
      <c r="D14" s="57">
        <f>'Freight transport'!F9</f>
        <v>0</v>
      </c>
      <c r="E14" s="57">
        <f>'Freight transport'!G9</f>
        <v>0</v>
      </c>
      <c r="F14" s="57">
        <f>'Freight transport'!H9</f>
        <v>0</v>
      </c>
      <c r="G14" s="6"/>
      <c r="H14" s="6"/>
      <c r="I14" s="6"/>
      <c r="J14" s="6"/>
      <c r="K14" s="6"/>
    </row>
    <row r="15" spans="1:11" x14ac:dyDescent="0.25">
      <c r="A15" s="55" t="s">
        <v>28</v>
      </c>
      <c r="B15" s="20" t="s">
        <v>36</v>
      </c>
      <c r="C15" s="56">
        <f>SUM('Wastewater treatment'!E21,'Wastewater treatment'!E27)</f>
        <v>0</v>
      </c>
      <c r="D15" s="57">
        <f>SUM('Wastewater treatment'!F21,'Wastewater treatment'!F27)</f>
        <v>0</v>
      </c>
      <c r="E15" s="57">
        <f>SUM('Wastewater treatment'!G21,'Wastewater treatment'!G27)</f>
        <v>0</v>
      </c>
      <c r="F15" s="57">
        <f>SUM('Wastewater treatment'!H21,'Wastewater treatment'!H27)</f>
        <v>0</v>
      </c>
      <c r="G15" s="6"/>
      <c r="H15" s="6"/>
      <c r="I15" s="6"/>
      <c r="J15" s="6"/>
      <c r="K15" s="6"/>
    </row>
    <row r="16" spans="1:11" x14ac:dyDescent="0.25">
      <c r="A16" s="55" t="s">
        <v>28</v>
      </c>
      <c r="B16" s="20" t="s">
        <v>37</v>
      </c>
      <c r="C16" s="56">
        <f>SUM(Waste!E25,Waste!E41,Waste!E47,Waste!E60)</f>
        <v>0</v>
      </c>
      <c r="D16" s="57">
        <f>SUM(Waste!F25,Waste!F41,Waste!F47,Waste!F60)</f>
        <v>0</v>
      </c>
      <c r="E16" s="57">
        <f>SUM(Waste!G25,Waste!G41,Waste!G47,Waste!G60)</f>
        <v>0</v>
      </c>
      <c r="F16" s="57">
        <f>SUM(Waste!H25,Waste!H41,Waste!H47,Waste!H60)</f>
        <v>0</v>
      </c>
      <c r="G16" s="6"/>
      <c r="H16" s="6"/>
      <c r="I16" s="6"/>
      <c r="J16" s="6"/>
      <c r="K16" s="6"/>
    </row>
    <row r="17" spans="1:11" x14ac:dyDescent="0.25">
      <c r="A17" s="55" t="s">
        <v>26</v>
      </c>
      <c r="B17" s="21" t="s">
        <v>38</v>
      </c>
      <c r="C17" s="56">
        <f>SUM('Agriculture Forestry &amp; other'!E97)</f>
        <v>0</v>
      </c>
      <c r="D17" s="57">
        <f>SUM('Agriculture Forestry &amp; other'!F97)</f>
        <v>0</v>
      </c>
      <c r="E17" s="57">
        <f>SUM('Agriculture Forestry &amp; other'!G97)</f>
        <v>0</v>
      </c>
      <c r="F17" s="57">
        <f>SUM('Agriculture Forestry &amp; other'!H97)</f>
        <v>0</v>
      </c>
      <c r="G17" s="6"/>
      <c r="H17" s="6"/>
      <c r="I17" s="6"/>
      <c r="J17" s="6"/>
      <c r="K17" s="6"/>
    </row>
    <row r="18" spans="1:11" x14ac:dyDescent="0.25">
      <c r="A18" s="6"/>
      <c r="B18" s="6"/>
      <c r="C18" s="6"/>
      <c r="D18" s="6"/>
      <c r="E18" s="6"/>
      <c r="F18" s="6"/>
      <c r="G18" s="6"/>
      <c r="H18" s="6"/>
      <c r="I18" s="6"/>
      <c r="J18" s="6"/>
      <c r="K18" s="6"/>
    </row>
    <row r="19" spans="1:11" x14ac:dyDescent="0.25">
      <c r="A19" s="14"/>
      <c r="B19" s="6"/>
      <c r="C19" s="6"/>
      <c r="D19" s="6"/>
      <c r="E19" s="6"/>
      <c r="F19" s="6"/>
      <c r="G19" s="6"/>
      <c r="H19" s="6"/>
      <c r="I19" s="6"/>
      <c r="J19" s="6"/>
      <c r="K19" s="6"/>
    </row>
    <row r="20" spans="1:11" x14ac:dyDescent="0.25">
      <c r="A20" s="6"/>
      <c r="B20" s="23" t="s">
        <v>39</v>
      </c>
      <c r="C20" s="22">
        <f>SUM(C8:C17)</f>
        <v>0</v>
      </c>
      <c r="D20" s="22">
        <f>SUM(D8:D11,D13:D17)</f>
        <v>0</v>
      </c>
      <c r="E20" s="22">
        <f>SUM(E8:E11,E13:E17)</f>
        <v>0</v>
      </c>
      <c r="F20" s="22">
        <f>SUM(F8:F11,F13:F17)</f>
        <v>0</v>
      </c>
      <c r="G20" s="6"/>
      <c r="H20" s="6"/>
      <c r="I20" s="6"/>
      <c r="J20" s="6"/>
      <c r="K20" s="6"/>
    </row>
    <row r="21" spans="1:11" x14ac:dyDescent="0.25">
      <c r="A21" s="6"/>
      <c r="B21" s="55" t="s">
        <v>40</v>
      </c>
      <c r="C21" s="56">
        <f>SUM(C8,C12,C17)</f>
        <v>0</v>
      </c>
      <c r="D21" s="57">
        <f>SUM(D8,D12,D17)</f>
        <v>0</v>
      </c>
      <c r="E21" s="57">
        <f>SUM(E8,E12,E17)</f>
        <v>0</v>
      </c>
      <c r="F21" s="57">
        <f>SUM(F8,F12,F17)</f>
        <v>0</v>
      </c>
      <c r="G21" s="6"/>
      <c r="H21" s="6"/>
      <c r="I21" s="6"/>
      <c r="J21" s="6"/>
      <c r="K21" s="6"/>
    </row>
    <row r="22" spans="1:11" x14ac:dyDescent="0.25">
      <c r="A22" s="6"/>
      <c r="B22" s="55" t="s">
        <v>41</v>
      </c>
      <c r="C22" s="56">
        <f>C10</f>
        <v>0</v>
      </c>
      <c r="D22" s="57">
        <f>D10</f>
        <v>0</v>
      </c>
      <c r="E22" s="57">
        <f>E10</f>
        <v>0</v>
      </c>
      <c r="F22" s="57">
        <f>F10</f>
        <v>0</v>
      </c>
      <c r="G22" s="6"/>
      <c r="H22" s="6"/>
      <c r="I22" s="6"/>
      <c r="J22" s="6"/>
      <c r="K22" s="6"/>
    </row>
    <row r="23" spans="1:11" x14ac:dyDescent="0.25">
      <c r="A23" s="6"/>
      <c r="B23" s="55" t="s">
        <v>42</v>
      </c>
      <c r="C23" s="56">
        <f>SUM(C9,C11,C13:C16)</f>
        <v>0</v>
      </c>
      <c r="D23" s="57">
        <f>SUM(D9,D11,D13:D16)</f>
        <v>0</v>
      </c>
      <c r="E23" s="57">
        <f>SUM(E9,E11,E13:E16)</f>
        <v>0</v>
      </c>
      <c r="F23" s="57">
        <f>SUM(F9,F11,F13:F16)</f>
        <v>0</v>
      </c>
      <c r="G23" s="6"/>
      <c r="H23" s="6"/>
      <c r="I23" s="6"/>
      <c r="J23" s="6"/>
      <c r="K23" s="6"/>
    </row>
    <row r="24" spans="1:11" x14ac:dyDescent="0.25">
      <c r="A24" s="6"/>
      <c r="B24" s="6"/>
      <c r="C24" s="6"/>
      <c r="D24" s="6"/>
      <c r="E24" s="6"/>
      <c r="F24" s="6"/>
      <c r="G24" s="6"/>
      <c r="H24" s="6"/>
      <c r="I24" s="6"/>
      <c r="J24" s="6"/>
      <c r="K24" s="6"/>
    </row>
    <row r="25" spans="1:11" x14ac:dyDescent="0.25">
      <c r="A25" s="6"/>
      <c r="B25" s="14"/>
      <c r="C25" s="6"/>
      <c r="D25" s="6"/>
      <c r="E25" s="6"/>
      <c r="F25" s="6"/>
      <c r="G25" s="6"/>
      <c r="H25" s="6"/>
      <c r="I25" s="6"/>
      <c r="J25" s="6"/>
      <c r="K25" s="6"/>
    </row>
    <row r="26" spans="1:11" ht="15.6" customHeight="1" x14ac:dyDescent="0.25">
      <c r="A26" s="6"/>
      <c r="B26" s="24" t="s">
        <v>43</v>
      </c>
      <c r="C26" s="15" t="s">
        <v>5</v>
      </c>
      <c r="D26" s="16" t="s">
        <v>5</v>
      </c>
      <c r="E26" s="17"/>
      <c r="F26" s="6"/>
      <c r="G26" s="6"/>
      <c r="H26" s="6"/>
      <c r="I26" s="6"/>
      <c r="J26" s="6"/>
      <c r="K26" s="6"/>
    </row>
    <row r="27" spans="1:11" ht="15" customHeight="1" x14ac:dyDescent="0.25">
      <c r="A27" s="6"/>
      <c r="B27" s="85" t="s">
        <v>21</v>
      </c>
      <c r="C27" s="86" t="s">
        <v>22</v>
      </c>
      <c r="D27" s="88" t="s">
        <v>23</v>
      </c>
      <c r="E27" s="13"/>
      <c r="F27" s="6"/>
      <c r="G27" s="6"/>
      <c r="H27" s="6"/>
      <c r="I27" s="6"/>
      <c r="J27" s="6"/>
      <c r="K27" s="6"/>
    </row>
    <row r="28" spans="1:11" x14ac:dyDescent="0.25">
      <c r="A28" s="6"/>
      <c r="B28" s="85"/>
      <c r="C28" s="87"/>
      <c r="D28" s="89"/>
      <c r="E28" s="13"/>
      <c r="F28" s="6"/>
      <c r="G28" s="6"/>
      <c r="H28" s="6"/>
      <c r="I28" s="6"/>
      <c r="J28" s="6"/>
      <c r="K28" s="6"/>
    </row>
    <row r="29" spans="1:11" x14ac:dyDescent="0.25">
      <c r="A29" s="6"/>
      <c r="B29" s="19" t="s">
        <v>44</v>
      </c>
      <c r="C29" s="56">
        <f>Fuel!E10+'Agriculture Forestry &amp; other'!E10</f>
        <v>0</v>
      </c>
      <c r="D29" s="57">
        <f>Fuel!F10+'Agriculture Forestry &amp; other'!F10</f>
        <v>0</v>
      </c>
      <c r="E29" s="18"/>
      <c r="F29" s="6"/>
      <c r="G29" s="6"/>
      <c r="H29" s="6"/>
      <c r="I29" s="6"/>
      <c r="J29" s="6"/>
      <c r="K29" s="6"/>
    </row>
    <row r="30" spans="1:11" x14ac:dyDescent="0.25">
      <c r="A30" s="6"/>
      <c r="B30" s="19" t="s">
        <v>45</v>
      </c>
      <c r="C30" s="56">
        <f>'Agriculture Forestry &amp; other'!E11</f>
        <v>0</v>
      </c>
      <c r="D30" s="57">
        <f>'Agriculture Forestry &amp; other'!F11</f>
        <v>0</v>
      </c>
      <c r="E30" s="18"/>
      <c r="F30" s="6"/>
      <c r="G30" s="6"/>
      <c r="H30" s="6"/>
      <c r="I30" s="6"/>
      <c r="J30" s="6"/>
      <c r="K30" s="6"/>
    </row>
    <row r="31" spans="1:11" x14ac:dyDescent="0.25">
      <c r="A31" s="6"/>
      <c r="B31" s="6"/>
      <c r="C31" s="6"/>
      <c r="D31" s="6"/>
      <c r="E31" s="6"/>
      <c r="F31" s="6"/>
      <c r="G31" s="6"/>
      <c r="H31" s="6"/>
      <c r="I31" s="6"/>
      <c r="J31" s="6"/>
      <c r="K31" s="6"/>
    </row>
    <row r="32" spans="1:11" x14ac:dyDescent="0.25">
      <c r="A32" s="6"/>
      <c r="B32" s="6"/>
      <c r="C32" s="6"/>
      <c r="D32" s="6"/>
      <c r="E32" s="6"/>
      <c r="F32" s="6"/>
      <c r="G32" s="6"/>
      <c r="H32" s="6"/>
      <c r="I32" s="6"/>
      <c r="J32" s="6"/>
      <c r="K32" s="6"/>
    </row>
    <row r="33" spans="1:11" x14ac:dyDescent="0.25">
      <c r="A33" s="6"/>
      <c r="B33" s="17"/>
      <c r="C33" s="17"/>
      <c r="D33" s="6"/>
      <c r="E33" s="6"/>
      <c r="F33" s="6"/>
      <c r="G33" s="6"/>
      <c r="H33" s="6"/>
      <c r="I33" s="6"/>
      <c r="J33" s="6"/>
      <c r="K33" s="6"/>
    </row>
    <row r="34" spans="1:11" x14ac:dyDescent="0.25">
      <c r="A34" s="6"/>
      <c r="B34" s="90"/>
      <c r="C34" s="90"/>
      <c r="D34" s="6"/>
      <c r="E34" s="6"/>
      <c r="F34" s="6"/>
      <c r="G34" s="6"/>
      <c r="H34" s="6"/>
      <c r="I34" s="6"/>
      <c r="J34" s="6"/>
      <c r="K34" s="6"/>
    </row>
    <row r="35" spans="1:11" x14ac:dyDescent="0.25">
      <c r="A35" s="6"/>
      <c r="B35" s="90"/>
      <c r="C35" s="90"/>
      <c r="D35" s="6"/>
      <c r="E35" s="6"/>
      <c r="F35" s="6"/>
      <c r="G35" s="6"/>
      <c r="H35" s="6"/>
      <c r="I35" s="6"/>
      <c r="J35" s="6"/>
      <c r="K35" s="6"/>
    </row>
    <row r="36" spans="1:11" x14ac:dyDescent="0.25">
      <c r="A36" s="6"/>
      <c r="B36" s="13"/>
      <c r="C36" s="18"/>
      <c r="D36" s="6"/>
      <c r="E36" s="6"/>
      <c r="F36" s="6"/>
      <c r="G36" s="6"/>
      <c r="H36" s="6"/>
      <c r="I36" s="6"/>
      <c r="J36" s="6"/>
      <c r="K36" s="6"/>
    </row>
  </sheetData>
  <mergeCells count="13">
    <mergeCell ref="A3:F3"/>
    <mergeCell ref="B27:B28"/>
    <mergeCell ref="C27:C28"/>
    <mergeCell ref="D27:D28"/>
    <mergeCell ref="B34:B35"/>
    <mergeCell ref="C34:C35"/>
    <mergeCell ref="B5:F5"/>
    <mergeCell ref="A6:A7"/>
    <mergeCell ref="B6:B7"/>
    <mergeCell ref="C6:C7"/>
    <mergeCell ref="D6:D7"/>
    <mergeCell ref="E6:E7"/>
    <mergeCell ref="F6:F7"/>
  </mergeCells>
  <pageMargins left="0.7" right="0.7" top="0.75" bottom="0.75" header="0.3" footer="0.3"/>
  <pageSetup paperSize="9" orientation="portrait" horizontalDpi="300" verticalDpi="300"/>
  <headerFooter>
    <oddHeader>&amp;C&amp;"Calibri"&amp;9&amp;K000000 [IN-CONFIDENCE]&amp;1#_x000D_</oddHeader>
    <oddFooter>&amp;C_x000D_&amp;1#&amp;"Calibri"&amp;9&amp;K000000 [IN-CONFIDENCE]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6"/>
  <sheetViews>
    <sheetView showGridLines="0" topLeftCell="A50" workbookViewId="0">
      <selection activeCell="F82" sqref="F82"/>
    </sheetView>
  </sheetViews>
  <sheetFormatPr defaultColWidth="11.42578125" defaultRowHeight="15" x14ac:dyDescent="0.25"/>
  <cols>
    <col min="1" max="1" width="50.7109375" customWidth="1"/>
    <col min="2" max="2" width="25.7109375" customWidth="1"/>
    <col min="3" max="8" width="17.7109375" customWidth="1"/>
    <col min="9" max="9" width="16.5703125" customWidth="1"/>
  </cols>
  <sheetData>
    <row r="1" spans="1:16" ht="31.5" x14ac:dyDescent="0.25">
      <c r="A1" s="98" t="s">
        <v>46</v>
      </c>
      <c r="B1" s="97"/>
      <c r="C1" s="97"/>
      <c r="D1" s="97"/>
      <c r="E1" s="97"/>
      <c r="F1" s="97"/>
      <c r="G1" s="97"/>
      <c r="H1" s="97"/>
      <c r="I1" s="97"/>
      <c r="J1" s="97"/>
    </row>
    <row r="2" spans="1:16" ht="23.25" x14ac:dyDescent="0.25">
      <c r="A2" s="99" t="s">
        <v>47</v>
      </c>
      <c r="B2" s="97"/>
      <c r="C2" s="97"/>
      <c r="D2" s="97"/>
      <c r="E2" s="97"/>
      <c r="F2" s="97"/>
      <c r="G2" s="97"/>
      <c r="H2" s="97"/>
      <c r="I2" s="97"/>
      <c r="J2" s="97"/>
    </row>
    <row r="4" spans="1:16" ht="31.5" x14ac:dyDescent="0.25">
      <c r="A4" s="98" t="s">
        <v>48</v>
      </c>
      <c r="B4" s="97"/>
      <c r="C4" s="97"/>
      <c r="D4" s="97"/>
      <c r="E4" s="97"/>
      <c r="F4" s="97"/>
      <c r="G4" s="97"/>
      <c r="H4" s="97"/>
      <c r="I4" s="97"/>
      <c r="J4" s="97"/>
    </row>
    <row r="5" spans="1:16" x14ac:dyDescent="0.25">
      <c r="A5" s="100" t="s">
        <v>49</v>
      </c>
      <c r="B5" s="97"/>
      <c r="C5" s="97"/>
      <c r="D5" s="97"/>
      <c r="E5" s="97"/>
      <c r="F5" s="97"/>
      <c r="G5" s="97"/>
      <c r="H5" s="97"/>
      <c r="I5" s="97"/>
      <c r="J5" s="97"/>
    </row>
    <row r="6" spans="1:16" ht="79.5" customHeight="1" x14ac:dyDescent="0.25">
      <c r="A6" s="101" t="s">
        <v>50</v>
      </c>
      <c r="B6" s="97"/>
      <c r="C6" s="97"/>
      <c r="D6" s="97"/>
      <c r="E6" s="97"/>
      <c r="F6" s="97"/>
      <c r="G6" s="97"/>
      <c r="H6" s="97"/>
      <c r="I6" s="97"/>
      <c r="J6" s="97"/>
    </row>
    <row r="8" spans="1:16" x14ac:dyDescent="0.25">
      <c r="A8" s="96" t="s">
        <v>51</v>
      </c>
      <c r="B8" s="97"/>
      <c r="C8" s="97"/>
      <c r="D8" s="97"/>
      <c r="E8" s="58" t="s">
        <v>52</v>
      </c>
      <c r="F8" s="58" t="s">
        <v>53</v>
      </c>
      <c r="G8" s="58" t="s">
        <v>54</v>
      </c>
      <c r="H8" s="58" t="s">
        <v>55</v>
      </c>
      <c r="I8" s="58" t="s">
        <v>56</v>
      </c>
    </row>
    <row r="9" spans="1:16" x14ac:dyDescent="0.25">
      <c r="A9" s="96" t="s">
        <v>57</v>
      </c>
      <c r="B9" s="97"/>
      <c r="C9" s="97"/>
      <c r="D9" s="97"/>
      <c r="E9" s="56">
        <f>SUM(E41,E56)</f>
        <v>0</v>
      </c>
      <c r="F9" s="57">
        <f>SUM(F41,F56)</f>
        <v>0</v>
      </c>
      <c r="G9" s="57">
        <f>SUM(G41,G56)</f>
        <v>0</v>
      </c>
      <c r="H9" s="57">
        <f>SUM(H41,H56)</f>
        <v>0</v>
      </c>
      <c r="I9" s="57">
        <v>0</v>
      </c>
    </row>
    <row r="10" spans="1:16" x14ac:dyDescent="0.25">
      <c r="A10" s="96" t="s">
        <v>58</v>
      </c>
      <c r="B10" s="97"/>
      <c r="C10" s="97"/>
      <c r="D10" s="97"/>
      <c r="E10" s="56">
        <f>E76</f>
        <v>0</v>
      </c>
      <c r="F10" s="57">
        <f>F76</f>
        <v>0</v>
      </c>
      <c r="G10" s="57">
        <f>G76</f>
        <v>0</v>
      </c>
      <c r="H10" s="57">
        <f>H76</f>
        <v>0</v>
      </c>
      <c r="I10" s="57">
        <f>I76</f>
        <v>0</v>
      </c>
    </row>
    <row r="12" spans="1:16" x14ac:dyDescent="0.25">
      <c r="A12" s="92" t="s">
        <v>59</v>
      </c>
      <c r="B12" s="92"/>
      <c r="C12" s="92"/>
      <c r="D12" s="92"/>
      <c r="E12" s="92"/>
      <c r="F12" s="92"/>
      <c r="G12" s="92"/>
      <c r="H12" s="92"/>
      <c r="I12" s="92"/>
    </row>
    <row r="13" spans="1:16" x14ac:dyDescent="0.25">
      <c r="A13" s="93" t="s">
        <v>60</v>
      </c>
      <c r="B13" s="93"/>
      <c r="C13" s="59" t="s">
        <v>61</v>
      </c>
      <c r="D13" s="60" t="s">
        <v>62</v>
      </c>
      <c r="E13" s="58" t="s">
        <v>63</v>
      </c>
      <c r="F13" s="58" t="s">
        <v>64</v>
      </c>
      <c r="G13" s="58" t="s">
        <v>65</v>
      </c>
      <c r="H13" s="58" t="s">
        <v>66</v>
      </c>
      <c r="I13" s="59" t="s">
        <v>67</v>
      </c>
      <c r="P13" s="61" t="s">
        <v>68</v>
      </c>
    </row>
    <row r="14" spans="1:16" x14ac:dyDescent="0.25">
      <c r="A14" s="95" t="s">
        <v>69</v>
      </c>
      <c r="B14" s="94" t="s">
        <v>70</v>
      </c>
      <c r="C14" s="94"/>
      <c r="D14" s="94"/>
      <c r="E14" s="94"/>
      <c r="F14" s="94"/>
      <c r="G14" s="94"/>
      <c r="H14" s="94"/>
      <c r="I14" s="94"/>
    </row>
    <row r="15" spans="1:16" x14ac:dyDescent="0.25">
      <c r="A15" s="95"/>
      <c r="B15" s="52" t="s">
        <v>71</v>
      </c>
      <c r="C15" s="52" t="s">
        <v>72</v>
      </c>
      <c r="D15" s="50"/>
      <c r="E15" s="56">
        <f>F15 + G15 + H15</f>
        <v>0</v>
      </c>
      <c r="F15" s="57">
        <f>D15 * 1.9130400728</f>
        <v>0</v>
      </c>
      <c r="G15" s="57">
        <f>D15 * 0.16617209</f>
        <v>0</v>
      </c>
      <c r="H15" s="57">
        <f>D15 * 0.0078635007</f>
        <v>0</v>
      </c>
      <c r="I15" s="52" t="s">
        <v>73</v>
      </c>
      <c r="P15" s="64" t="s">
        <v>74</v>
      </c>
    </row>
    <row r="16" spans="1:16" x14ac:dyDescent="0.25">
      <c r="A16" s="95"/>
      <c r="B16" s="52" t="s">
        <v>75</v>
      </c>
      <c r="C16" s="52" t="s">
        <v>72</v>
      </c>
      <c r="D16" s="50"/>
      <c r="E16" s="56">
        <f>F16 + G16 + H16</f>
        <v>0</v>
      </c>
      <c r="F16" s="57">
        <f>D16 * 2.6373603787</f>
        <v>0</v>
      </c>
      <c r="G16" s="57">
        <f>D16 * 0.2361285294</f>
        <v>0</v>
      </c>
      <c r="H16" s="57">
        <f>D16 * 0.0111739393</f>
        <v>0</v>
      </c>
      <c r="I16" s="52" t="s">
        <v>76</v>
      </c>
      <c r="P16" s="64" t="s">
        <v>77</v>
      </c>
    </row>
    <row r="17" spans="1:16" x14ac:dyDescent="0.25">
      <c r="A17" s="95"/>
      <c r="B17" s="52" t="s">
        <v>78</v>
      </c>
      <c r="C17" s="52" t="s">
        <v>72</v>
      </c>
      <c r="D17" s="50"/>
      <c r="E17" s="56">
        <f>F17 + G17 + H17</f>
        <v>0</v>
      </c>
      <c r="F17" s="57">
        <f>D17 * 1.9910094769</f>
        <v>0</v>
      </c>
      <c r="G17" s="57">
        <f>D17 * 0.1727172043</f>
        <v>0</v>
      </c>
      <c r="H17" s="57">
        <f>D17 * 0.0081732248</f>
        <v>0</v>
      </c>
      <c r="I17" s="52" t="s">
        <v>73</v>
      </c>
      <c r="P17" s="64" t="s">
        <v>79</v>
      </c>
    </row>
    <row r="18" spans="1:16" x14ac:dyDescent="0.25">
      <c r="A18" s="95"/>
      <c r="B18" s="52" t="s">
        <v>80</v>
      </c>
      <c r="C18" s="52" t="s">
        <v>72</v>
      </c>
      <c r="D18" s="50"/>
      <c r="E18" s="56">
        <f>F18 + G18 + H18</f>
        <v>0</v>
      </c>
      <c r="F18" s="57">
        <f>D18 * 1.4204478726</f>
        <v>0</v>
      </c>
      <c r="G18" s="57">
        <f>D18 * 0.1217395986</f>
        <v>0</v>
      </c>
      <c r="H18" s="57">
        <f>D18 * 0.0057608917</f>
        <v>0</v>
      </c>
      <c r="I18" s="52" t="s">
        <v>81</v>
      </c>
      <c r="P18" s="64" t="s">
        <v>82</v>
      </c>
    </row>
    <row r="19" spans="1:16" x14ac:dyDescent="0.25">
      <c r="A19" s="95"/>
      <c r="B19" s="94" t="s">
        <v>83</v>
      </c>
      <c r="C19" s="94"/>
      <c r="D19" s="94"/>
      <c r="E19" s="94"/>
      <c r="F19" s="94"/>
      <c r="G19" s="94"/>
      <c r="H19" s="94"/>
      <c r="I19" s="94"/>
    </row>
    <row r="20" spans="1:16" x14ac:dyDescent="0.25">
      <c r="A20" s="95"/>
      <c r="B20" s="52" t="s">
        <v>71</v>
      </c>
      <c r="C20" s="52" t="s">
        <v>72</v>
      </c>
      <c r="D20" s="50"/>
      <c r="E20" s="56">
        <f t="shared" ref="E20:E29" si="0">F20 + G20 + H20</f>
        <v>0</v>
      </c>
      <c r="F20" s="57">
        <f>D20 * 2.0923573079</f>
        <v>0</v>
      </c>
      <c r="G20" s="57">
        <f>D20 * 0.0061106049</f>
        <v>0</v>
      </c>
      <c r="H20" s="57">
        <f>D20 * 0.0086748766</f>
        <v>0</v>
      </c>
      <c r="I20" s="52" t="s">
        <v>84</v>
      </c>
      <c r="P20" s="64" t="s">
        <v>85</v>
      </c>
    </row>
    <row r="21" spans="1:16" x14ac:dyDescent="0.25">
      <c r="A21" s="95"/>
      <c r="B21" s="52" t="s">
        <v>75</v>
      </c>
      <c r="C21" s="52" t="s">
        <v>72</v>
      </c>
      <c r="D21" s="50"/>
      <c r="E21" s="56">
        <f t="shared" si="0"/>
        <v>0</v>
      </c>
      <c r="F21" s="57">
        <f>D21 * 2.6373603787</f>
        <v>0</v>
      </c>
      <c r="G21" s="57">
        <f>D21 * 0.007870951</f>
        <v>0</v>
      </c>
      <c r="H21" s="57">
        <f>D21 * 0.0111739393</f>
        <v>0</v>
      </c>
      <c r="I21" s="52" t="s">
        <v>84</v>
      </c>
      <c r="P21" s="64" t="s">
        <v>86</v>
      </c>
    </row>
    <row r="22" spans="1:16" x14ac:dyDescent="0.25">
      <c r="A22" s="95"/>
      <c r="B22" s="52" t="s">
        <v>78</v>
      </c>
      <c r="C22" s="52" t="s">
        <v>72</v>
      </c>
      <c r="D22" s="50"/>
      <c r="E22" s="56">
        <f t="shared" si="0"/>
        <v>0</v>
      </c>
      <c r="F22" s="57">
        <f>D22 * 1.9910094769</f>
        <v>0</v>
      </c>
      <c r="G22" s="57">
        <f>D22 * 0.0057572401</f>
        <v>0</v>
      </c>
      <c r="H22" s="57">
        <f>D22 * 0.0081732248</f>
        <v>0</v>
      </c>
      <c r="I22" s="52" t="s">
        <v>84</v>
      </c>
      <c r="P22" s="64" t="s">
        <v>87</v>
      </c>
    </row>
    <row r="23" spans="1:16" x14ac:dyDescent="0.25">
      <c r="A23" s="95"/>
      <c r="B23" s="52" t="s">
        <v>80</v>
      </c>
      <c r="C23" s="52" t="s">
        <v>72</v>
      </c>
      <c r="D23" s="50"/>
      <c r="E23" s="56">
        <f t="shared" si="0"/>
        <v>0</v>
      </c>
      <c r="F23" s="57">
        <f>D23 * 1.4204478726</f>
        <v>0</v>
      </c>
      <c r="G23" s="57">
        <f>D23 * 0.0040579866</f>
        <v>0</v>
      </c>
      <c r="H23" s="57">
        <f>D23 * 0.0057608917</f>
        <v>0</v>
      </c>
      <c r="I23" s="52" t="s">
        <v>84</v>
      </c>
      <c r="P23" s="64" t="s">
        <v>88</v>
      </c>
    </row>
    <row r="24" spans="1:16" x14ac:dyDescent="0.25">
      <c r="A24" s="95"/>
      <c r="B24" s="52" t="s">
        <v>89</v>
      </c>
      <c r="C24" s="52" t="s">
        <v>90</v>
      </c>
      <c r="D24" s="50"/>
      <c r="E24" s="56">
        <f t="shared" si="0"/>
        <v>0</v>
      </c>
      <c r="F24" s="57">
        <f>D24 * 2.6624403121</f>
        <v>0</v>
      </c>
      <c r="G24" s="57">
        <f>D24 * 0.0102388965</f>
        <v>0</v>
      </c>
      <c r="H24" s="57">
        <f>D24 * 0.0058142305</f>
        <v>0</v>
      </c>
      <c r="I24" s="52" t="s">
        <v>91</v>
      </c>
      <c r="P24" s="64" t="s">
        <v>92</v>
      </c>
    </row>
    <row r="25" spans="1:16" x14ac:dyDescent="0.25">
      <c r="A25" s="95"/>
      <c r="B25" s="52" t="s">
        <v>93</v>
      </c>
      <c r="C25" s="52" t="s">
        <v>72</v>
      </c>
      <c r="D25" s="50"/>
      <c r="E25" s="56">
        <f t="shared" si="0"/>
        <v>0</v>
      </c>
      <c r="F25" s="57">
        <f>D25 * 2.963726347</f>
        <v>0</v>
      </c>
      <c r="G25" s="57">
        <f>D25 * 0.00665</f>
        <v>0</v>
      </c>
      <c r="H25" s="57">
        <f>D25 * 0.00125875</f>
        <v>0</v>
      </c>
      <c r="I25" s="52" t="s">
        <v>94</v>
      </c>
      <c r="P25" s="64" t="s">
        <v>95</v>
      </c>
    </row>
    <row r="26" spans="1:16" x14ac:dyDescent="0.25">
      <c r="A26" s="95"/>
      <c r="B26" s="52" t="s">
        <v>96</v>
      </c>
      <c r="C26" s="52" t="s">
        <v>90</v>
      </c>
      <c r="D26" s="50"/>
      <c r="E26" s="56">
        <f t="shared" si="0"/>
        <v>0</v>
      </c>
      <c r="F26" s="57">
        <f>D26 * 3.0366014036</f>
        <v>0</v>
      </c>
      <c r="G26" s="57">
        <f>D26 * 0.0108366525</f>
        <v>0</v>
      </c>
      <c r="H26" s="57">
        <f>D26 * 0.0061536705</f>
        <v>0</v>
      </c>
      <c r="I26" s="52" t="s">
        <v>91</v>
      </c>
      <c r="P26" s="64" t="s">
        <v>97</v>
      </c>
    </row>
    <row r="27" spans="1:16" x14ac:dyDescent="0.25">
      <c r="A27" s="95"/>
      <c r="B27" s="52" t="s">
        <v>98</v>
      </c>
      <c r="C27" s="52" t="s">
        <v>90</v>
      </c>
      <c r="D27" s="50"/>
      <c r="E27" s="56">
        <f t="shared" si="0"/>
        <v>0</v>
      </c>
      <c r="F27" s="57">
        <f>D27 * 2.9540095902</f>
        <v>0</v>
      </c>
      <c r="G27" s="57">
        <f>D27 * 0.010760775</f>
        <v>0</v>
      </c>
      <c r="H27" s="57">
        <f>D27 * 0.0061105829</f>
        <v>0</v>
      </c>
      <c r="I27" s="52" t="s">
        <v>91</v>
      </c>
      <c r="P27" s="64" t="s">
        <v>99</v>
      </c>
    </row>
    <row r="28" spans="1:16" x14ac:dyDescent="0.25">
      <c r="A28" s="95"/>
      <c r="B28" s="52" t="s">
        <v>100</v>
      </c>
      <c r="C28" s="52" t="s">
        <v>101</v>
      </c>
      <c r="D28" s="50"/>
      <c r="E28" s="56">
        <f t="shared" si="0"/>
        <v>0</v>
      </c>
      <c r="F28" s="57">
        <f>D28 * 0.19434985</f>
        <v>0</v>
      </c>
      <c r="G28" s="57">
        <f>D28 * 0.0004536</f>
        <v>0</v>
      </c>
      <c r="H28" s="57">
        <f>D28 * 0.00008586</f>
        <v>0</v>
      </c>
      <c r="I28" s="52" t="s">
        <v>94</v>
      </c>
      <c r="P28" s="64" t="s">
        <v>102</v>
      </c>
    </row>
    <row r="29" spans="1:16" x14ac:dyDescent="0.25">
      <c r="A29" s="95"/>
      <c r="B29" s="52" t="s">
        <v>100</v>
      </c>
      <c r="C29" s="52" t="s">
        <v>103</v>
      </c>
      <c r="D29" s="50"/>
      <c r="E29" s="56">
        <f t="shared" si="0"/>
        <v>0</v>
      </c>
      <c r="F29" s="57">
        <f>D29 * 53.9860694493</f>
        <v>0</v>
      </c>
      <c r="G29" s="57">
        <f>D29 * 0.126</f>
        <v>0</v>
      </c>
      <c r="H29" s="57">
        <f>D29 * 0.02385</f>
        <v>0</v>
      </c>
      <c r="I29" s="52" t="s">
        <v>94</v>
      </c>
      <c r="P29" s="64" t="s">
        <v>104</v>
      </c>
    </row>
    <row r="30" spans="1:16" x14ac:dyDescent="0.25">
      <c r="A30" s="95"/>
      <c r="B30" s="94" t="s">
        <v>105</v>
      </c>
      <c r="C30" s="94"/>
      <c r="D30" s="94"/>
      <c r="E30" s="94"/>
      <c r="F30" s="94"/>
      <c r="G30" s="94"/>
      <c r="H30" s="94"/>
      <c r="I30" s="94"/>
    </row>
    <row r="31" spans="1:16" x14ac:dyDescent="0.25">
      <c r="A31" s="95"/>
      <c r="B31" s="52" t="s">
        <v>71</v>
      </c>
      <c r="C31" s="52" t="s">
        <v>72</v>
      </c>
      <c r="D31" s="50"/>
      <c r="E31" s="56">
        <f t="shared" ref="E31:E40" si="1">F31 + G31 + H31</f>
        <v>0</v>
      </c>
      <c r="F31" s="57">
        <f>D31 * 1.9209259928</f>
        <v>0</v>
      </c>
      <c r="G31" s="57">
        <f>D31 * 0.0055714828</f>
        <v>0</v>
      </c>
      <c r="H31" s="57">
        <f>D31 * 0.0079095158</f>
        <v>0</v>
      </c>
      <c r="I31" s="52" t="s">
        <v>84</v>
      </c>
      <c r="P31" s="64" t="s">
        <v>106</v>
      </c>
    </row>
    <row r="32" spans="1:16" x14ac:dyDescent="0.25">
      <c r="A32" s="95"/>
      <c r="B32" s="52" t="s">
        <v>75</v>
      </c>
      <c r="C32" s="52" t="s">
        <v>72</v>
      </c>
      <c r="D32" s="50"/>
      <c r="E32" s="56">
        <f t="shared" si="1"/>
        <v>0</v>
      </c>
      <c r="F32" s="57">
        <f>D32 * 2.6373603787</f>
        <v>0</v>
      </c>
      <c r="G32" s="57">
        <f>D32 * 0.007870951</f>
        <v>0</v>
      </c>
      <c r="H32" s="57">
        <f>D32 * 0.0111739393</f>
        <v>0</v>
      </c>
      <c r="I32" s="52" t="s">
        <v>84</v>
      </c>
      <c r="P32" s="64" t="s">
        <v>107</v>
      </c>
    </row>
    <row r="33" spans="1:16" x14ac:dyDescent="0.25">
      <c r="A33" s="95"/>
      <c r="B33" s="52" t="s">
        <v>78</v>
      </c>
      <c r="C33" s="52" t="s">
        <v>72</v>
      </c>
      <c r="D33" s="50"/>
      <c r="E33" s="56">
        <f t="shared" si="1"/>
        <v>0</v>
      </c>
      <c r="F33" s="57">
        <f>D33 * 1.9910094769</f>
        <v>0</v>
      </c>
      <c r="G33" s="57">
        <f>D33 * 0.0057572401</f>
        <v>0</v>
      </c>
      <c r="H33" s="57">
        <f>D33 * 0.0081732248</f>
        <v>0</v>
      </c>
      <c r="I33" s="52" t="s">
        <v>84</v>
      </c>
      <c r="P33" s="64" t="s">
        <v>108</v>
      </c>
    </row>
    <row r="34" spans="1:16" x14ac:dyDescent="0.25">
      <c r="A34" s="95"/>
      <c r="B34" s="52" t="s">
        <v>80</v>
      </c>
      <c r="C34" s="52" t="s">
        <v>72</v>
      </c>
      <c r="D34" s="50"/>
      <c r="E34" s="56">
        <f t="shared" si="1"/>
        <v>0</v>
      </c>
      <c r="F34" s="57">
        <f>D34 * 1.4204478726</f>
        <v>0</v>
      </c>
      <c r="G34" s="57">
        <f>D34 * 0.0040579866</f>
        <v>0</v>
      </c>
      <c r="H34" s="57">
        <f>D34 * 0.0057608917</f>
        <v>0</v>
      </c>
      <c r="I34" s="52" t="s">
        <v>84</v>
      </c>
      <c r="P34" s="64" t="s">
        <v>109</v>
      </c>
    </row>
    <row r="35" spans="1:16" x14ac:dyDescent="0.25">
      <c r="A35" s="95"/>
      <c r="B35" s="52" t="s">
        <v>89</v>
      </c>
      <c r="C35" s="52" t="s">
        <v>90</v>
      </c>
      <c r="D35" s="50"/>
      <c r="E35" s="56">
        <f t="shared" si="1"/>
        <v>0</v>
      </c>
      <c r="F35" s="57">
        <f>D35 * 2.6624403121</f>
        <v>0</v>
      </c>
      <c r="G35" s="57">
        <f>D35 * 0.003071669</f>
        <v>0</v>
      </c>
      <c r="H35" s="57">
        <f>D35 * 0.0058142305</f>
        <v>0</v>
      </c>
      <c r="I35" s="52" t="s">
        <v>91</v>
      </c>
      <c r="P35" s="64" t="s">
        <v>110</v>
      </c>
    </row>
    <row r="36" spans="1:16" x14ac:dyDescent="0.25">
      <c r="A36" s="95"/>
      <c r="B36" s="52" t="s">
        <v>93</v>
      </c>
      <c r="C36" s="52" t="s">
        <v>72</v>
      </c>
      <c r="D36" s="50"/>
      <c r="E36" s="56">
        <f t="shared" si="1"/>
        <v>0</v>
      </c>
      <c r="F36" s="57">
        <f>D36 * 2.963726347</f>
        <v>0</v>
      </c>
      <c r="G36" s="57">
        <f>D36 * 0.00133</f>
        <v>0</v>
      </c>
      <c r="H36" s="57">
        <f>D36 * 0.00125875</f>
        <v>0</v>
      </c>
      <c r="I36" s="52" t="s">
        <v>94</v>
      </c>
      <c r="P36" s="64" t="s">
        <v>111</v>
      </c>
    </row>
    <row r="37" spans="1:16" x14ac:dyDescent="0.25">
      <c r="A37" s="95"/>
      <c r="B37" s="52" t="s">
        <v>96</v>
      </c>
      <c r="C37" s="52" t="s">
        <v>90</v>
      </c>
      <c r="D37" s="50"/>
      <c r="E37" s="56">
        <f t="shared" si="1"/>
        <v>0</v>
      </c>
      <c r="F37" s="57">
        <f>D37 * 3.0366014036</f>
        <v>0</v>
      </c>
      <c r="G37" s="57">
        <f>D37 * 0.0032509957</f>
        <v>0</v>
      </c>
      <c r="H37" s="57">
        <f>D37 * 0.0061536705</f>
        <v>0</v>
      </c>
      <c r="I37" s="52" t="s">
        <v>91</v>
      </c>
      <c r="P37" s="64" t="s">
        <v>112</v>
      </c>
    </row>
    <row r="38" spans="1:16" x14ac:dyDescent="0.25">
      <c r="A38" s="95"/>
      <c r="B38" s="52" t="s">
        <v>98</v>
      </c>
      <c r="C38" s="52" t="s">
        <v>90</v>
      </c>
      <c r="D38" s="50"/>
      <c r="E38" s="56">
        <f t="shared" si="1"/>
        <v>0</v>
      </c>
      <c r="F38" s="57">
        <f>D38 * 2.9540095902</f>
        <v>0</v>
      </c>
      <c r="G38" s="57">
        <f>D38 * 0.0032282325</f>
        <v>0</v>
      </c>
      <c r="H38" s="57">
        <f>D38 * 0.0061105829</f>
        <v>0</v>
      </c>
      <c r="I38" s="52" t="s">
        <v>91</v>
      </c>
      <c r="P38" s="64" t="s">
        <v>113</v>
      </c>
    </row>
    <row r="39" spans="1:16" x14ac:dyDescent="0.25">
      <c r="A39" s="95"/>
      <c r="B39" s="52" t="s">
        <v>100</v>
      </c>
      <c r="C39" s="52" t="s">
        <v>101</v>
      </c>
      <c r="D39" s="50"/>
      <c r="E39" s="56">
        <f t="shared" si="1"/>
        <v>0</v>
      </c>
      <c r="F39" s="57">
        <f>D39 * 0.19434985</f>
        <v>0</v>
      </c>
      <c r="G39" s="57">
        <f>D39 * 0.00009072</f>
        <v>0</v>
      </c>
      <c r="H39" s="57">
        <f>D39 * 0.00008586</f>
        <v>0</v>
      </c>
      <c r="I39" s="52" t="s">
        <v>94</v>
      </c>
      <c r="P39" s="64" t="s">
        <v>114</v>
      </c>
    </row>
    <row r="40" spans="1:16" x14ac:dyDescent="0.25">
      <c r="A40" s="95"/>
      <c r="B40" s="52" t="s">
        <v>100</v>
      </c>
      <c r="C40" s="52" t="s">
        <v>103</v>
      </c>
      <c r="D40" s="50"/>
      <c r="E40" s="56">
        <f t="shared" si="1"/>
        <v>0</v>
      </c>
      <c r="F40" s="57">
        <f>D40 * 53.9860694493</f>
        <v>0</v>
      </c>
      <c r="G40" s="57">
        <f>D40 * 0.0252</f>
        <v>0</v>
      </c>
      <c r="H40" s="57">
        <f>D40 * 0.02385</f>
        <v>0</v>
      </c>
      <c r="I40" s="52" t="s">
        <v>94</v>
      </c>
      <c r="P40" s="64" t="s">
        <v>115</v>
      </c>
    </row>
    <row r="41" spans="1:16" x14ac:dyDescent="0.25">
      <c r="D41" s="65" t="s">
        <v>116</v>
      </c>
      <c r="E41" s="56">
        <f>SUM(E14:E40)</f>
        <v>0</v>
      </c>
      <c r="F41" s="57">
        <f>SUM(F14:F40)</f>
        <v>0</v>
      </c>
      <c r="G41" s="57">
        <f>SUM(G14:G40)</f>
        <v>0</v>
      </c>
      <c r="H41" s="57">
        <f>SUM(H14:H40)</f>
        <v>0</v>
      </c>
    </row>
    <row r="43" spans="1:16" x14ac:dyDescent="0.25">
      <c r="A43" s="92" t="s">
        <v>117</v>
      </c>
      <c r="B43" s="92"/>
      <c r="C43" s="92"/>
      <c r="D43" s="92"/>
      <c r="E43" s="92"/>
      <c r="F43" s="92"/>
      <c r="G43" s="92"/>
      <c r="H43" s="92"/>
      <c r="I43" s="92"/>
    </row>
    <row r="44" spans="1:16" x14ac:dyDescent="0.25">
      <c r="A44" s="93" t="s">
        <v>60</v>
      </c>
      <c r="B44" s="93"/>
      <c r="C44" s="59" t="s">
        <v>61</v>
      </c>
      <c r="D44" s="60" t="s">
        <v>62</v>
      </c>
      <c r="E44" s="58" t="s">
        <v>63</v>
      </c>
      <c r="F44" s="58" t="s">
        <v>64</v>
      </c>
      <c r="G44" s="58" t="s">
        <v>65</v>
      </c>
      <c r="H44" s="58" t="s">
        <v>66</v>
      </c>
      <c r="I44" s="59" t="s">
        <v>67</v>
      </c>
      <c r="P44" s="61" t="s">
        <v>68</v>
      </c>
    </row>
    <row r="45" spans="1:16" x14ac:dyDescent="0.25">
      <c r="A45" s="95" t="s">
        <v>117</v>
      </c>
      <c r="B45" s="94" t="s">
        <v>118</v>
      </c>
      <c r="C45" s="94"/>
      <c r="D45" s="94"/>
      <c r="E45" s="94"/>
      <c r="F45" s="94"/>
      <c r="G45" s="94"/>
      <c r="H45" s="94"/>
      <c r="I45" s="94"/>
    </row>
    <row r="46" spans="1:16" x14ac:dyDescent="0.25">
      <c r="A46" s="95"/>
      <c r="B46" s="52" t="s">
        <v>119</v>
      </c>
      <c r="C46" s="52" t="s">
        <v>90</v>
      </c>
      <c r="D46" s="50"/>
      <c r="E46" s="56">
        <f t="shared" ref="E46:E54" si="2">F46 + G46 + H46</f>
        <v>0</v>
      </c>
      <c r="F46" s="57">
        <f>D46 * 2.2728825379</f>
        <v>0</v>
      </c>
      <c r="G46" s="57">
        <f>D46 * 0.0302710346</f>
        <v>0</v>
      </c>
      <c r="H46" s="57">
        <f>D46 * 0.0694530231</f>
        <v>0</v>
      </c>
      <c r="I46" s="52" t="s">
        <v>120</v>
      </c>
      <c r="P46" s="64" t="s">
        <v>121</v>
      </c>
    </row>
    <row r="47" spans="1:16" x14ac:dyDescent="0.25">
      <c r="A47" s="95"/>
      <c r="B47" s="52" t="s">
        <v>122</v>
      </c>
      <c r="C47" s="52" t="s">
        <v>90</v>
      </c>
      <c r="D47" s="50"/>
      <c r="E47" s="56">
        <f t="shared" si="2"/>
        <v>0</v>
      </c>
      <c r="F47" s="57">
        <f>D47 * 2.3055960889</f>
        <v>0</v>
      </c>
      <c r="G47" s="57">
        <f>D47 * 0.0306748996</f>
        <v>0</v>
      </c>
      <c r="H47" s="57">
        <f>D47 * 0.0703796397</f>
        <v>0</v>
      </c>
      <c r="I47" s="52" t="s">
        <v>120</v>
      </c>
      <c r="P47" s="64" t="s">
        <v>123</v>
      </c>
    </row>
    <row r="48" spans="1:16" x14ac:dyDescent="0.25">
      <c r="A48" s="95"/>
      <c r="B48" s="52" t="s">
        <v>89</v>
      </c>
      <c r="C48" s="52" t="s">
        <v>90</v>
      </c>
      <c r="D48" s="50"/>
      <c r="E48" s="56">
        <f t="shared" si="2"/>
        <v>0</v>
      </c>
      <c r="F48" s="57">
        <f>D48 * 2.6361699373</f>
        <v>0</v>
      </c>
      <c r="G48" s="57">
        <f>D48 * 0.0039537689</f>
        <v>0</v>
      </c>
      <c r="H48" s="57">
        <f>D48 * 0.0374195987</f>
        <v>0</v>
      </c>
      <c r="I48" s="52" t="s">
        <v>124</v>
      </c>
      <c r="P48" s="64" t="s">
        <v>125</v>
      </c>
    </row>
    <row r="49" spans="1:16" x14ac:dyDescent="0.25">
      <c r="A49" s="95"/>
      <c r="B49" s="52" t="s">
        <v>93</v>
      </c>
      <c r="C49" s="52" t="s">
        <v>90</v>
      </c>
      <c r="D49" s="50"/>
      <c r="E49" s="56">
        <f t="shared" si="2"/>
        <v>0</v>
      </c>
      <c r="F49" s="57">
        <f>D49 * 1.573145945</f>
        <v>0</v>
      </c>
      <c r="G49" s="57">
        <f>D49 * 0.043769768</f>
        <v>0</v>
      </c>
      <c r="H49" s="57">
        <f>D49 * 0.001336289</f>
        <v>0</v>
      </c>
      <c r="I49" s="52" t="s">
        <v>126</v>
      </c>
      <c r="P49" s="64" t="s">
        <v>127</v>
      </c>
    </row>
    <row r="50" spans="1:16" x14ac:dyDescent="0.25">
      <c r="A50" s="95"/>
      <c r="B50" s="52" t="s">
        <v>96</v>
      </c>
      <c r="C50" s="52" t="s">
        <v>90</v>
      </c>
      <c r="D50" s="50"/>
      <c r="E50" s="56">
        <f t="shared" si="2"/>
        <v>0</v>
      </c>
      <c r="F50" s="57">
        <f>D50 * 3.0366014036</f>
        <v>0</v>
      </c>
      <c r="G50" s="57">
        <f>D50 * 0.0075856567</f>
        <v>0</v>
      </c>
      <c r="H50" s="57">
        <f>D50 * 0.020512235</f>
        <v>0</v>
      </c>
      <c r="I50" s="52" t="s">
        <v>128</v>
      </c>
      <c r="P50" s="64" t="s">
        <v>129</v>
      </c>
    </row>
    <row r="51" spans="1:16" x14ac:dyDescent="0.25">
      <c r="A51" s="95"/>
      <c r="B51" s="52" t="s">
        <v>98</v>
      </c>
      <c r="C51" s="52" t="s">
        <v>90</v>
      </c>
      <c r="D51" s="50"/>
      <c r="E51" s="56">
        <f t="shared" si="2"/>
        <v>0</v>
      </c>
      <c r="F51" s="57">
        <f>D51 * 2.9540095902</f>
        <v>0</v>
      </c>
      <c r="G51" s="57">
        <f>D51 * 0.0075325425</f>
        <v>0</v>
      </c>
      <c r="H51" s="57">
        <f>D51 * 0.0203686098</f>
        <v>0</v>
      </c>
      <c r="I51" s="52" t="s">
        <v>128</v>
      </c>
      <c r="P51" s="64" t="s">
        <v>130</v>
      </c>
    </row>
    <row r="52" spans="1:16" x14ac:dyDescent="0.25">
      <c r="A52" s="95"/>
      <c r="B52" s="52" t="s">
        <v>131</v>
      </c>
      <c r="C52" s="52" t="s">
        <v>103</v>
      </c>
      <c r="D52" s="50"/>
      <c r="E52" s="56">
        <f t="shared" si="2"/>
        <v>0</v>
      </c>
      <c r="F52" s="57">
        <f>D52 * 68.04232939</f>
        <v>0</v>
      </c>
      <c r="G52" s="57">
        <f>D52 * 0.0133</f>
        <v>0</v>
      </c>
      <c r="H52" s="57">
        <f>D52 * 0.5035</f>
        <v>0</v>
      </c>
      <c r="I52" s="52" t="s">
        <v>132</v>
      </c>
      <c r="P52" s="64" t="s">
        <v>133</v>
      </c>
    </row>
    <row r="53" spans="1:16" x14ac:dyDescent="0.25">
      <c r="A53" s="95"/>
      <c r="B53" s="52" t="s">
        <v>131</v>
      </c>
      <c r="C53" s="52" t="s">
        <v>90</v>
      </c>
      <c r="D53" s="50"/>
      <c r="E53" s="56">
        <f t="shared" si="2"/>
        <v>0</v>
      </c>
      <c r="F53" s="57">
        <f>D53 * 2.4969550614</f>
        <v>0</v>
      </c>
      <c r="G53" s="57">
        <f>D53 * 0.0004880712</f>
        <v>0</v>
      </c>
      <c r="H53" s="57">
        <f>D53 * 0.0184769817</f>
        <v>0</v>
      </c>
      <c r="I53" s="52" t="s">
        <v>132</v>
      </c>
      <c r="P53" s="64" t="s">
        <v>134</v>
      </c>
    </row>
    <row r="54" spans="1:16" x14ac:dyDescent="0.25">
      <c r="A54" s="95"/>
      <c r="B54" s="52" t="s">
        <v>135</v>
      </c>
      <c r="C54" s="52" t="s">
        <v>103</v>
      </c>
      <c r="D54" s="50"/>
      <c r="E54" s="56">
        <f t="shared" si="2"/>
        <v>0</v>
      </c>
      <c r="F54" s="57">
        <f>D54 * 65.89149519</f>
        <v>0</v>
      </c>
      <c r="G54" s="57">
        <f>D54 * 0.0133</f>
        <v>0</v>
      </c>
      <c r="H54" s="57">
        <f>D54 * 0.5035</f>
        <v>0</v>
      </c>
      <c r="I54" s="52" t="s">
        <v>136</v>
      </c>
      <c r="P54" s="64" t="s">
        <v>137</v>
      </c>
    </row>
    <row r="55" spans="1:16" x14ac:dyDescent="0.25">
      <c r="A55" s="95"/>
      <c r="B55" s="52" t="s">
        <v>135</v>
      </c>
      <c r="C55" s="52" t="s">
        <v>90</v>
      </c>
      <c r="D55" s="50"/>
      <c r="E55" s="56">
        <f>F55 + G55 + H55</f>
        <v>0</v>
      </c>
      <c r="F55" s="57">
        <f>D55 * 2.2315326543</f>
        <v>0</v>
      </c>
      <c r="G55" s="57">
        <f>D55 * 0.0004504282</f>
        <v>0</v>
      </c>
      <c r="H55" s="57">
        <f>D55 * 0.0170519228</f>
        <v>0</v>
      </c>
      <c r="I55" s="52" t="s">
        <v>136</v>
      </c>
      <c r="P55" s="64" t="s">
        <v>138</v>
      </c>
    </row>
    <row r="56" spans="1:16" x14ac:dyDescent="0.25">
      <c r="D56" s="65" t="s">
        <v>116</v>
      </c>
      <c r="E56" s="56">
        <f>SUM(E45:E55)</f>
        <v>0</v>
      </c>
      <c r="F56" s="57">
        <f>SUM(F45:F55)</f>
        <v>0</v>
      </c>
      <c r="G56" s="57">
        <f>SUM(G45:G55)</f>
        <v>0</v>
      </c>
      <c r="H56" s="57">
        <f>SUM(H45:H55)</f>
        <v>0</v>
      </c>
    </row>
    <row r="58" spans="1:16" x14ac:dyDescent="0.25">
      <c r="A58" s="66" t="s">
        <v>139</v>
      </c>
      <c r="B58" s="66"/>
      <c r="C58" s="66"/>
      <c r="D58" s="66"/>
      <c r="E58" s="66"/>
      <c r="F58" s="66"/>
      <c r="G58" s="66"/>
      <c r="H58" s="66"/>
      <c r="I58" s="66"/>
      <c r="J58" s="66"/>
    </row>
    <row r="59" spans="1:16" x14ac:dyDescent="0.25">
      <c r="A59" s="67" t="s">
        <v>60</v>
      </c>
      <c r="B59" s="67"/>
      <c r="C59" s="59" t="s">
        <v>61</v>
      </c>
      <c r="D59" s="60" t="s">
        <v>62</v>
      </c>
      <c r="E59" s="58" t="s">
        <v>63</v>
      </c>
      <c r="F59" s="58" t="s">
        <v>64</v>
      </c>
      <c r="G59" s="58" t="s">
        <v>65</v>
      </c>
      <c r="H59" s="58" t="s">
        <v>66</v>
      </c>
      <c r="I59" s="58" t="s">
        <v>56</v>
      </c>
      <c r="J59" s="59" t="s">
        <v>67</v>
      </c>
      <c r="P59" s="61" t="s">
        <v>68</v>
      </c>
    </row>
    <row r="60" spans="1:16" x14ac:dyDescent="0.25">
      <c r="A60" s="68" t="s">
        <v>139</v>
      </c>
      <c r="B60" s="69" t="s">
        <v>140</v>
      </c>
      <c r="C60" s="69"/>
      <c r="D60" s="69"/>
      <c r="E60" s="69"/>
      <c r="F60" s="69"/>
      <c r="G60" s="69"/>
      <c r="H60" s="69"/>
      <c r="I60" s="69"/>
      <c r="J60" s="69"/>
    </row>
    <row r="61" spans="1:16" x14ac:dyDescent="0.25">
      <c r="A61" s="68"/>
      <c r="B61" s="52" t="s">
        <v>141</v>
      </c>
      <c r="C61" s="52" t="s">
        <v>103</v>
      </c>
      <c r="D61" s="50"/>
      <c r="E61" s="56">
        <f>G61 + H61</f>
        <v>0</v>
      </c>
      <c r="F61" s="57">
        <v>0</v>
      </c>
      <c r="G61" s="57">
        <f>D61 * 0.504</f>
        <v>0</v>
      </c>
      <c r="H61" s="57">
        <f>D61 * 2.014</f>
        <v>0</v>
      </c>
      <c r="I61" s="57">
        <f>D61 * 64.2</f>
        <v>0</v>
      </c>
      <c r="J61" s="52" t="s">
        <v>142</v>
      </c>
      <c r="P61" s="64" t="s">
        <v>143</v>
      </c>
    </row>
    <row r="62" spans="1:16" x14ac:dyDescent="0.25">
      <c r="A62" s="68"/>
      <c r="B62" s="52" t="s">
        <v>141</v>
      </c>
      <c r="C62" s="52" t="s">
        <v>90</v>
      </c>
      <c r="D62" s="50"/>
      <c r="E62" s="56">
        <f t="shared" ref="E62:E66" si="3">G62 + H62</f>
        <v>0</v>
      </c>
      <c r="F62" s="57">
        <v>0</v>
      </c>
      <c r="G62" s="57">
        <f>D62 * 0.0118944</f>
        <v>0</v>
      </c>
      <c r="H62" s="57">
        <f>D62 * 0.0475304</f>
        <v>0</v>
      </c>
      <c r="I62" s="57">
        <f>D62 * 1.51512</f>
        <v>0</v>
      </c>
      <c r="J62" s="52" t="s">
        <v>142</v>
      </c>
      <c r="P62" s="64" t="s">
        <v>144</v>
      </c>
    </row>
    <row r="63" spans="1:16" x14ac:dyDescent="0.25">
      <c r="A63" s="68"/>
      <c r="B63" s="52" t="s">
        <v>145</v>
      </c>
      <c r="C63" s="52" t="s">
        <v>90</v>
      </c>
      <c r="D63" s="50"/>
      <c r="E63" s="56">
        <f>F63 + G63 + H63</f>
        <v>0</v>
      </c>
      <c r="F63" s="57">
        <f>D63*0.97*2.2728825379</f>
        <v>0</v>
      </c>
      <c r="G63" s="57">
        <f>D63 * 0.0297197356</f>
        <v>0</v>
      </c>
      <c r="H63" s="57">
        <f>D63 * 0.0687953444</f>
        <v>0</v>
      </c>
      <c r="I63" s="57">
        <f>D63 * 0.0454536</f>
        <v>0</v>
      </c>
      <c r="J63" s="52" t="s">
        <v>120</v>
      </c>
      <c r="P63" s="64" t="s">
        <v>146</v>
      </c>
    </row>
    <row r="64" spans="1:16" x14ac:dyDescent="0.25">
      <c r="A64" s="68"/>
      <c r="B64" s="52" t="s">
        <v>147</v>
      </c>
      <c r="C64" s="52" t="s">
        <v>90</v>
      </c>
      <c r="D64" s="50"/>
      <c r="E64" s="56">
        <f>F64 + G64 + H64</f>
        <v>0</v>
      </c>
      <c r="F64" s="57">
        <f>D64*0.9*2.3055960889</f>
        <v>0</v>
      </c>
      <c r="G64" s="57">
        <f>D64 * 0.0287968496</f>
        <v>0</v>
      </c>
      <c r="H64" s="57">
        <f>D64 * 0.0680947158</f>
        <v>0</v>
      </c>
      <c r="I64" s="57">
        <f>D64 * 0.151512</f>
        <v>0</v>
      </c>
      <c r="J64" s="52" t="s">
        <v>120</v>
      </c>
      <c r="P64" s="64" t="s">
        <v>148</v>
      </c>
    </row>
    <row r="65" spans="1:16" x14ac:dyDescent="0.25">
      <c r="A65" s="68"/>
      <c r="B65" s="52" t="s">
        <v>149</v>
      </c>
      <c r="C65" s="52" t="s">
        <v>103</v>
      </c>
      <c r="D65" s="50"/>
      <c r="E65" s="56">
        <f t="shared" si="3"/>
        <v>0</v>
      </c>
      <c r="F65" s="57">
        <v>0</v>
      </c>
      <c r="G65" s="57">
        <f>D65 * 0.504</f>
        <v>0</v>
      </c>
      <c r="H65" s="57">
        <f>D65 * 0.981825</f>
        <v>0</v>
      </c>
      <c r="I65" s="57">
        <f>D65 * 67.26</f>
        <v>0</v>
      </c>
      <c r="J65" s="52" t="s">
        <v>150</v>
      </c>
      <c r="P65" s="64" t="s">
        <v>151</v>
      </c>
    </row>
    <row r="66" spans="1:16" x14ac:dyDescent="0.25">
      <c r="A66" s="68"/>
      <c r="B66" s="52" t="s">
        <v>149</v>
      </c>
      <c r="C66" s="52" t="s">
        <v>90</v>
      </c>
      <c r="D66" s="50"/>
      <c r="E66" s="56">
        <f t="shared" si="3"/>
        <v>0</v>
      </c>
      <c r="F66" s="57">
        <v>0</v>
      </c>
      <c r="G66" s="57">
        <f>D66 * 0.0183562105</f>
        <v>0</v>
      </c>
      <c r="H66" s="57">
        <f>D66 * 0.0357591</f>
        <v>0</v>
      </c>
      <c r="I66" s="57">
        <f>D66 * 2.44968</f>
        <v>0</v>
      </c>
      <c r="J66" s="52" t="s">
        <v>150</v>
      </c>
      <c r="P66" s="64" t="s">
        <v>152</v>
      </c>
    </row>
    <row r="67" spans="1:16" x14ac:dyDescent="0.25">
      <c r="A67" s="68"/>
      <c r="B67" s="52" t="s">
        <v>153</v>
      </c>
      <c r="C67" s="52" t="s">
        <v>90</v>
      </c>
      <c r="D67" s="50"/>
      <c r="E67" s="56">
        <f>F67 + G67 + H67</f>
        <v>0</v>
      </c>
      <c r="F67" s="57">
        <f>D67*0.95*2.6361699373</f>
        <v>0</v>
      </c>
      <c r="G67" s="57">
        <f>D67 * 0.004673891</f>
        <v>0</v>
      </c>
      <c r="H67" s="57">
        <f>D67 * 0.0373365738</f>
        <v>0</v>
      </c>
      <c r="I67" s="57">
        <f>D67 * 0.122484</f>
        <v>0</v>
      </c>
      <c r="J67" s="52" t="s">
        <v>124</v>
      </c>
      <c r="P67" s="64" t="s">
        <v>154</v>
      </c>
    </row>
    <row r="68" spans="1:16" x14ac:dyDescent="0.25">
      <c r="A68" s="68"/>
      <c r="B68" s="52" t="s">
        <v>155</v>
      </c>
      <c r="C68" s="52" t="s">
        <v>90</v>
      </c>
      <c r="D68" s="50"/>
      <c r="E68" s="56">
        <f>F68 + G68 + H68</f>
        <v>0</v>
      </c>
      <c r="F68" s="57">
        <f>D68*0.8*2.6361699373</f>
        <v>0</v>
      </c>
      <c r="G68" s="57">
        <f>D68 * 0.0068342572</f>
        <v>0</v>
      </c>
      <c r="H68" s="57">
        <f>D68 * 0.037087499</f>
        <v>0</v>
      </c>
      <c r="I68" s="57">
        <f>D68 * 0.489936</f>
        <v>0</v>
      </c>
      <c r="J68" s="52" t="s">
        <v>150</v>
      </c>
      <c r="P68" s="64" t="s">
        <v>156</v>
      </c>
    </row>
    <row r="69" spans="1:16" x14ac:dyDescent="0.25">
      <c r="A69" s="68"/>
      <c r="B69" s="69" t="s">
        <v>157</v>
      </c>
      <c r="C69" s="69"/>
      <c r="D69" s="69"/>
      <c r="E69" s="69"/>
      <c r="F69" s="69"/>
      <c r="G69" s="69"/>
      <c r="H69" s="69"/>
      <c r="I69" s="69"/>
      <c r="J69" s="69"/>
    </row>
    <row r="70" spans="1:16" x14ac:dyDescent="0.25">
      <c r="A70" s="68"/>
      <c r="B70" s="52" t="s">
        <v>158</v>
      </c>
      <c r="C70" s="52" t="s">
        <v>72</v>
      </c>
      <c r="D70" s="50"/>
      <c r="E70" s="56">
        <f>G70 + H70</f>
        <v>0</v>
      </c>
      <c r="F70" s="57">
        <v>0</v>
      </c>
      <c r="G70" s="57">
        <f>D70 * 0.0101808</f>
        <v>0</v>
      </c>
      <c r="H70" s="57">
        <f>D70 * 0.0128472</f>
        <v>0</v>
      </c>
      <c r="I70" s="57">
        <f>D70 * 1.35542</f>
        <v>0</v>
      </c>
      <c r="J70" s="52" t="s">
        <v>159</v>
      </c>
      <c r="P70" s="64" t="s">
        <v>160</v>
      </c>
    </row>
    <row r="71" spans="1:16" x14ac:dyDescent="0.25">
      <c r="A71" s="68"/>
      <c r="B71" s="52" t="s">
        <v>161</v>
      </c>
      <c r="C71" s="52" t="s">
        <v>72</v>
      </c>
      <c r="D71" s="50"/>
      <c r="E71" s="56">
        <f>G71 + H71</f>
        <v>0</v>
      </c>
      <c r="F71" s="57">
        <v>0</v>
      </c>
      <c r="G71" s="57">
        <f>D71 * 0.012759936</f>
        <v>0</v>
      </c>
      <c r="H71" s="57">
        <f>D71 * 0.016101824</f>
        <v>0</v>
      </c>
      <c r="I71" s="57">
        <f>D71 * 1.6987930667</f>
        <v>0</v>
      </c>
      <c r="J71" s="52" t="s">
        <v>162</v>
      </c>
      <c r="P71" s="64" t="s">
        <v>163</v>
      </c>
    </row>
    <row r="72" spans="1:16" x14ac:dyDescent="0.25">
      <c r="A72" s="68"/>
      <c r="B72" s="52" t="s">
        <v>164</v>
      </c>
      <c r="C72" s="52" t="s">
        <v>72</v>
      </c>
      <c r="D72" s="50"/>
      <c r="E72" s="56">
        <f>G72 + H72</f>
        <v>0</v>
      </c>
      <c r="F72" s="57">
        <v>0</v>
      </c>
      <c r="G72" s="57">
        <f>D72 * 0.005972736</f>
        <v>0</v>
      </c>
      <c r="H72" s="57">
        <f>D72 * 0.007537024</f>
        <v>0</v>
      </c>
      <c r="I72" s="57">
        <f>D72 * 0.7951797333</f>
        <v>0</v>
      </c>
      <c r="J72" s="52" t="s">
        <v>162</v>
      </c>
      <c r="P72" s="64" t="s">
        <v>165</v>
      </c>
    </row>
    <row r="73" spans="1:16" x14ac:dyDescent="0.25">
      <c r="A73" s="68"/>
      <c r="B73" s="69" t="s">
        <v>166</v>
      </c>
      <c r="C73" s="69"/>
      <c r="D73" s="69"/>
      <c r="E73" s="69"/>
      <c r="F73" s="69"/>
      <c r="G73" s="69"/>
      <c r="H73" s="69"/>
      <c r="I73" s="69"/>
      <c r="J73" s="69"/>
    </row>
    <row r="74" spans="1:16" x14ac:dyDescent="0.25">
      <c r="A74" s="68"/>
      <c r="B74" s="52" t="s">
        <v>158</v>
      </c>
      <c r="C74" s="52" t="s">
        <v>72</v>
      </c>
      <c r="D74" s="50"/>
      <c r="E74" s="56">
        <f>G74 + H74</f>
        <v>0</v>
      </c>
      <c r="F74" s="57">
        <v>0</v>
      </c>
      <c r="G74" s="57">
        <f>D74 * 0.101808</f>
        <v>0</v>
      </c>
      <c r="H74" s="57">
        <f>D74 * 0.0128472</f>
        <v>0</v>
      </c>
      <c r="I74" s="57">
        <f>D74 * 1.35542</f>
        <v>0</v>
      </c>
      <c r="J74" s="52" t="s">
        <v>167</v>
      </c>
      <c r="P74" s="64" t="s">
        <v>168</v>
      </c>
    </row>
    <row r="75" spans="1:16" x14ac:dyDescent="0.25">
      <c r="A75" s="68"/>
      <c r="B75" s="52" t="s">
        <v>161</v>
      </c>
      <c r="C75" s="52" t="s">
        <v>72</v>
      </c>
      <c r="D75" s="50"/>
      <c r="E75" s="56">
        <f>G75 + H75</f>
        <v>0</v>
      </c>
      <c r="F75" s="57">
        <v>0</v>
      </c>
      <c r="G75" s="57">
        <f>D75 * 0.12759936</f>
        <v>0</v>
      </c>
      <c r="H75" s="57">
        <f>D75 * 0.016101824</f>
        <v>0</v>
      </c>
      <c r="I75" s="57">
        <f>D75 * 1.6987930667</f>
        <v>0</v>
      </c>
      <c r="J75" s="52" t="s">
        <v>167</v>
      </c>
      <c r="P75" s="64" t="s">
        <v>169</v>
      </c>
    </row>
    <row r="76" spans="1:16" x14ac:dyDescent="0.25">
      <c r="D76" s="65" t="s">
        <v>116</v>
      </c>
      <c r="E76" s="56">
        <f>SUM(E60:E75)</f>
        <v>0</v>
      </c>
      <c r="F76" s="57">
        <f>SUM(F60:F75)</f>
        <v>0</v>
      </c>
      <c r="G76" s="57">
        <f>SUM(G60:G75)</f>
        <v>0</v>
      </c>
      <c r="H76" s="57">
        <f>SUM(H60:H75)</f>
        <v>0</v>
      </c>
      <c r="I76" s="57">
        <f>SUM(I60:I75)</f>
        <v>0</v>
      </c>
    </row>
  </sheetData>
  <mergeCells count="18">
    <mergeCell ref="A1:J1"/>
    <mergeCell ref="A2:J2"/>
    <mergeCell ref="A4:J4"/>
    <mergeCell ref="A5:J5"/>
    <mergeCell ref="A6:J6"/>
    <mergeCell ref="A43:I43"/>
    <mergeCell ref="A44:B44"/>
    <mergeCell ref="B45:I45"/>
    <mergeCell ref="A45:A55"/>
    <mergeCell ref="A8:D8"/>
    <mergeCell ref="A9:D9"/>
    <mergeCell ref="A10:D10"/>
    <mergeCell ref="A12:I12"/>
    <mergeCell ref="A13:B13"/>
    <mergeCell ref="B14:I14"/>
    <mergeCell ref="B19:I19"/>
    <mergeCell ref="B30:I30"/>
    <mergeCell ref="A14:A40"/>
  </mergeCells>
  <pageMargins left="0.7" right="0.7" top="0.75" bottom="0.75" header="0.3" footer="0.3"/>
  <pageSetup paperSize="9" orientation="portrait" horizontalDpi="300" verticalDpi="300"/>
  <headerFooter>
    <oddHeader>&amp;C&amp;"Calibri"&amp;9&amp;K000000 [IN-CONFIDENCE]&amp;1#_x000D_</oddHeader>
    <oddFooter>&amp;C_x000D_&amp;1#&amp;"Calibri"&amp;9&amp;K000000 [IN-CONFIDENCE]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9"/>
  <sheetViews>
    <sheetView showGridLines="0" workbookViewId="0">
      <selection sqref="A1:J1"/>
    </sheetView>
  </sheetViews>
  <sheetFormatPr defaultColWidth="11.42578125" defaultRowHeight="15" x14ac:dyDescent="0.25"/>
  <cols>
    <col min="1" max="1" width="50.7109375" customWidth="1"/>
    <col min="2" max="2" width="25.7109375" customWidth="1"/>
    <col min="3" max="9" width="17.7109375" customWidth="1"/>
    <col min="10" max="10" width="20.7109375" customWidth="1"/>
  </cols>
  <sheetData>
    <row r="1" spans="1:16" ht="31.5" x14ac:dyDescent="0.25">
      <c r="A1" s="98" t="s">
        <v>46</v>
      </c>
      <c r="B1" s="97"/>
      <c r="C1" s="97"/>
      <c r="D1" s="97"/>
      <c r="E1" s="97"/>
      <c r="F1" s="97"/>
      <c r="G1" s="97"/>
      <c r="H1" s="97"/>
      <c r="I1" s="97"/>
      <c r="J1" s="97"/>
    </row>
    <row r="2" spans="1:16" ht="23.25" x14ac:dyDescent="0.25">
      <c r="A2" s="99" t="s">
        <v>170</v>
      </c>
      <c r="B2" s="97"/>
      <c r="C2" s="97"/>
      <c r="D2" s="97"/>
      <c r="E2" s="97"/>
      <c r="F2" s="97"/>
      <c r="G2" s="97"/>
      <c r="H2" s="97"/>
      <c r="I2" s="97"/>
      <c r="J2" s="97"/>
    </row>
    <row r="4" spans="1:16" ht="31.5" x14ac:dyDescent="0.25">
      <c r="A4" s="98" t="s">
        <v>171</v>
      </c>
      <c r="B4" s="97"/>
      <c r="C4" s="97"/>
      <c r="D4" s="97"/>
      <c r="E4" s="97"/>
      <c r="F4" s="97"/>
      <c r="G4" s="97"/>
      <c r="H4" s="97"/>
      <c r="I4" s="97"/>
      <c r="J4" s="97"/>
    </row>
    <row r="5" spans="1:16" x14ac:dyDescent="0.25">
      <c r="A5" s="100" t="s">
        <v>49</v>
      </c>
      <c r="B5" s="97"/>
      <c r="C5" s="97"/>
      <c r="D5" s="97"/>
      <c r="E5" s="97"/>
      <c r="F5" s="97"/>
      <c r="G5" s="97"/>
      <c r="H5" s="97"/>
      <c r="I5" s="97"/>
      <c r="J5" s="97"/>
    </row>
    <row r="6" spans="1:16" ht="21" customHeight="1" x14ac:dyDescent="0.25">
      <c r="A6" s="101" t="s">
        <v>172</v>
      </c>
      <c r="B6" s="97"/>
      <c r="C6" s="97"/>
      <c r="D6" s="97"/>
      <c r="E6" s="97"/>
      <c r="F6" s="97"/>
      <c r="G6" s="97"/>
      <c r="H6" s="97"/>
      <c r="I6" s="97"/>
      <c r="J6" s="97"/>
    </row>
    <row r="8" spans="1:16" x14ac:dyDescent="0.25">
      <c r="A8" s="92" t="s">
        <v>173</v>
      </c>
      <c r="B8" s="92"/>
      <c r="C8" s="92"/>
      <c r="D8" s="92"/>
      <c r="E8" s="92"/>
      <c r="F8" s="92"/>
      <c r="G8" s="92"/>
      <c r="H8" s="92"/>
      <c r="I8" s="92"/>
      <c r="J8" s="92"/>
    </row>
    <row r="9" spans="1:16" x14ac:dyDescent="0.25">
      <c r="A9" s="93" t="s">
        <v>60</v>
      </c>
      <c r="B9" s="93"/>
      <c r="C9" s="93"/>
      <c r="D9" s="59" t="s">
        <v>61</v>
      </c>
      <c r="E9" s="60" t="s">
        <v>62</v>
      </c>
      <c r="F9" s="58" t="s">
        <v>63</v>
      </c>
      <c r="G9" s="58" t="s">
        <v>64</v>
      </c>
      <c r="H9" s="58" t="s">
        <v>65</v>
      </c>
      <c r="I9" s="58" t="s">
        <v>66</v>
      </c>
      <c r="J9" s="59" t="s">
        <v>67</v>
      </c>
      <c r="P9" s="61" t="s">
        <v>68</v>
      </c>
    </row>
    <row r="10" spans="1:16" x14ac:dyDescent="0.25">
      <c r="A10" s="95" t="s">
        <v>173</v>
      </c>
      <c r="B10" s="63" t="s">
        <v>174</v>
      </c>
      <c r="C10" s="52" t="s">
        <v>175</v>
      </c>
      <c r="D10" s="52" t="s">
        <v>101</v>
      </c>
      <c r="E10" s="50"/>
      <c r="F10" s="56">
        <f>G10 + H10 + I10</f>
        <v>0</v>
      </c>
      <c r="G10" s="57">
        <f>E10 * 0.0000628993</f>
        <v>0</v>
      </c>
      <c r="H10" s="57">
        <f>E10 * 0.0071697513</f>
        <v>0</v>
      </c>
      <c r="I10" s="57">
        <f>E10 * 0</f>
        <v>0</v>
      </c>
      <c r="J10" s="52" t="s">
        <v>176</v>
      </c>
      <c r="P10" s="64" t="s">
        <v>177</v>
      </c>
    </row>
    <row r="11" spans="1:16" x14ac:dyDescent="0.25">
      <c r="A11" s="95"/>
      <c r="B11" s="63" t="s">
        <v>178</v>
      </c>
      <c r="C11" s="52" t="s">
        <v>175</v>
      </c>
      <c r="D11" s="52" t="s">
        <v>103</v>
      </c>
      <c r="E11" s="50"/>
      <c r="F11" s="56">
        <f>G11 + H11 + I11</f>
        <v>0</v>
      </c>
      <c r="G11" s="57">
        <f>E11 * 0.0174720395</f>
        <v>0</v>
      </c>
      <c r="H11" s="57">
        <f>E11 * 1.9915975782</f>
        <v>0</v>
      </c>
      <c r="I11" s="57">
        <f>E11 * 0</f>
        <v>0</v>
      </c>
      <c r="J11" s="52" t="s">
        <v>176</v>
      </c>
      <c r="P11" s="64" t="s">
        <v>179</v>
      </c>
    </row>
    <row r="12" spans="1:16" x14ac:dyDescent="0.25">
      <c r="E12" s="65" t="s">
        <v>116</v>
      </c>
      <c r="F12" s="56">
        <f>SUM(F10:F11)</f>
        <v>0</v>
      </c>
      <c r="G12" s="57">
        <f>SUM(G10:G11)</f>
        <v>0</v>
      </c>
      <c r="H12" s="57">
        <f>SUM(H10:H11)</f>
        <v>0</v>
      </c>
      <c r="I12" s="57">
        <f>SUM(I10:I11)</f>
        <v>0</v>
      </c>
    </row>
    <row r="14" spans="1:16" x14ac:dyDescent="0.25">
      <c r="A14" s="92" t="s">
        <v>173</v>
      </c>
      <c r="B14" s="92"/>
      <c r="C14" s="92"/>
      <c r="D14" s="92"/>
      <c r="E14" s="92"/>
      <c r="F14" s="92"/>
      <c r="G14" s="92"/>
      <c r="H14" s="92"/>
      <c r="I14" s="92"/>
      <c r="J14" s="92"/>
    </row>
    <row r="15" spans="1:16" x14ac:dyDescent="0.25">
      <c r="A15" s="93" t="s">
        <v>60</v>
      </c>
      <c r="B15" s="93"/>
      <c r="C15" s="93"/>
      <c r="D15" s="59" t="s">
        <v>61</v>
      </c>
      <c r="E15" s="60" t="s">
        <v>62</v>
      </c>
      <c r="F15" s="58" t="s">
        <v>63</v>
      </c>
      <c r="G15" s="58" t="s">
        <v>64</v>
      </c>
      <c r="H15" s="58" t="s">
        <v>65</v>
      </c>
      <c r="I15" s="58" t="s">
        <v>66</v>
      </c>
      <c r="J15" s="59" t="s">
        <v>67</v>
      </c>
      <c r="P15" s="61" t="s">
        <v>68</v>
      </c>
    </row>
    <row r="16" spans="1:16" x14ac:dyDescent="0.25">
      <c r="A16" s="95" t="s">
        <v>180</v>
      </c>
      <c r="B16" s="63">
        <v>2023</v>
      </c>
      <c r="C16" s="52" t="s">
        <v>181</v>
      </c>
      <c r="D16" s="52" t="s">
        <v>101</v>
      </c>
      <c r="E16" s="50"/>
      <c r="F16" s="56">
        <f t="shared" ref="F16:F28" si="0">G16 + H16 + I16</f>
        <v>0</v>
      </c>
      <c r="G16" s="57">
        <f>E16 * 0.0051364007</f>
        <v>0</v>
      </c>
      <c r="H16" s="57">
        <f>E16 * 0.0001900864</f>
        <v>0</v>
      </c>
      <c r="I16" s="57">
        <f>E16 * 0.0000055607</f>
        <v>0</v>
      </c>
      <c r="J16" s="52" t="s">
        <v>176</v>
      </c>
      <c r="P16" s="64" t="s">
        <v>182</v>
      </c>
    </row>
    <row r="17" spans="1:16" x14ac:dyDescent="0.25">
      <c r="A17" s="95"/>
      <c r="B17" s="63">
        <v>2022</v>
      </c>
      <c r="C17" s="52" t="s">
        <v>181</v>
      </c>
      <c r="D17" s="52" t="s">
        <v>101</v>
      </c>
      <c r="E17" s="50"/>
      <c r="F17" s="56">
        <f t="shared" si="0"/>
        <v>0</v>
      </c>
      <c r="G17" s="57">
        <f>E17 * 0.0058083423</f>
        <v>0</v>
      </c>
      <c r="H17" s="57">
        <f>E17 * 0.0002130758</f>
        <v>0</v>
      </c>
      <c r="I17" s="57">
        <f>E17 * 0.0000073396</f>
        <v>0</v>
      </c>
      <c r="J17" s="52" t="s">
        <v>176</v>
      </c>
      <c r="P17" s="64" t="s">
        <v>183</v>
      </c>
    </row>
    <row r="18" spans="1:16" x14ac:dyDescent="0.25">
      <c r="A18" s="95"/>
      <c r="B18" s="63">
        <v>2021</v>
      </c>
      <c r="C18" s="52" t="s">
        <v>181</v>
      </c>
      <c r="D18" s="52" t="s">
        <v>101</v>
      </c>
      <c r="E18" s="50"/>
      <c r="F18" s="56">
        <f t="shared" si="0"/>
        <v>0</v>
      </c>
      <c r="G18" s="57">
        <f>E18 * 0.0089844233</f>
        <v>0</v>
      </c>
      <c r="H18" s="57">
        <f>E18 * 0.0002184882</f>
        <v>0</v>
      </c>
      <c r="I18" s="57">
        <f>E18 * 0.0000197502</f>
        <v>0</v>
      </c>
      <c r="J18" s="52" t="s">
        <v>176</v>
      </c>
      <c r="P18" s="64" t="s">
        <v>184</v>
      </c>
    </row>
    <row r="19" spans="1:16" x14ac:dyDescent="0.25">
      <c r="A19" s="95"/>
      <c r="B19" s="63">
        <v>2020</v>
      </c>
      <c r="C19" s="52" t="s">
        <v>181</v>
      </c>
      <c r="D19" s="52" t="s">
        <v>101</v>
      </c>
      <c r="E19" s="50"/>
      <c r="F19" s="56">
        <f t="shared" si="0"/>
        <v>0</v>
      </c>
      <c r="G19" s="57">
        <f>E19 * 0.0089000834</f>
        <v>0</v>
      </c>
      <c r="H19" s="57">
        <f>E19 * 0.000223196</f>
        <v>0</v>
      </c>
      <c r="I19" s="57">
        <f>E19 * 0.0000147207</f>
        <v>0</v>
      </c>
      <c r="J19" s="52" t="s">
        <v>176</v>
      </c>
      <c r="P19" s="64" t="s">
        <v>185</v>
      </c>
    </row>
    <row r="20" spans="1:16" x14ac:dyDescent="0.25">
      <c r="A20" s="95"/>
      <c r="B20" s="63">
        <v>2019</v>
      </c>
      <c r="C20" s="52" t="s">
        <v>181</v>
      </c>
      <c r="D20" s="52" t="s">
        <v>101</v>
      </c>
      <c r="E20" s="50"/>
      <c r="F20" s="56">
        <f t="shared" si="0"/>
        <v>0</v>
      </c>
      <c r="G20" s="57">
        <f>E20 * 0.0082000124</f>
        <v>0</v>
      </c>
      <c r="H20" s="57">
        <f>E20 * 0.0002326521</f>
        <v>0</v>
      </c>
      <c r="I20" s="57">
        <f>E20 * 0.0000131514</f>
        <v>0</v>
      </c>
      <c r="J20" s="52" t="s">
        <v>176</v>
      </c>
      <c r="P20" s="64" t="s">
        <v>186</v>
      </c>
    </row>
    <row r="21" spans="1:16" x14ac:dyDescent="0.25">
      <c r="A21" s="95"/>
      <c r="B21" s="63">
        <v>2018</v>
      </c>
      <c r="C21" s="52" t="s">
        <v>181</v>
      </c>
      <c r="D21" s="52" t="s">
        <v>101</v>
      </c>
      <c r="E21" s="50"/>
      <c r="F21" s="56">
        <f t="shared" si="0"/>
        <v>0</v>
      </c>
      <c r="G21" s="57">
        <f>E21 * 0.0071058591</f>
        <v>0</v>
      </c>
      <c r="H21" s="57">
        <f>E21 * 0.0002564864</f>
        <v>0</v>
      </c>
      <c r="I21" s="57">
        <f>E21 * 0.0000090712</f>
        <v>0</v>
      </c>
      <c r="J21" s="52" t="s">
        <v>176</v>
      </c>
      <c r="P21" s="64" t="s">
        <v>187</v>
      </c>
    </row>
    <row r="22" spans="1:16" x14ac:dyDescent="0.25">
      <c r="A22" s="95"/>
      <c r="B22" s="63">
        <v>2017</v>
      </c>
      <c r="C22" s="52" t="s">
        <v>181</v>
      </c>
      <c r="D22" s="52" t="s">
        <v>101</v>
      </c>
      <c r="E22" s="50"/>
      <c r="F22" s="56">
        <f t="shared" si="0"/>
        <v>0</v>
      </c>
      <c r="G22" s="57">
        <f>E22 * 0.0075086576</f>
        <v>0</v>
      </c>
      <c r="H22" s="57">
        <f>E22 * 0.0002876376</f>
        <v>0</v>
      </c>
      <c r="I22" s="57">
        <f>E22 * 0.000006483</f>
        <v>0</v>
      </c>
      <c r="J22" s="52" t="s">
        <v>176</v>
      </c>
      <c r="P22" s="64" t="s">
        <v>188</v>
      </c>
    </row>
    <row r="23" spans="1:16" x14ac:dyDescent="0.25">
      <c r="A23" s="95"/>
      <c r="B23" s="63">
        <v>2016</v>
      </c>
      <c r="C23" s="52" t="s">
        <v>181</v>
      </c>
      <c r="D23" s="52" t="s">
        <v>101</v>
      </c>
      <c r="E23" s="50"/>
      <c r="F23" s="56">
        <f t="shared" si="0"/>
        <v>0</v>
      </c>
      <c r="G23" s="57">
        <f>E23 * 0.0066972048</f>
        <v>0</v>
      </c>
      <c r="H23" s="57">
        <f>E23 * 0.0003152479</f>
        <v>0</v>
      </c>
      <c r="I23" s="57">
        <f>E23 * 0.0000056074</f>
        <v>0</v>
      </c>
      <c r="J23" s="52" t="s">
        <v>176</v>
      </c>
      <c r="P23" s="64" t="s">
        <v>189</v>
      </c>
    </row>
    <row r="24" spans="1:16" x14ac:dyDescent="0.25">
      <c r="A24" s="95"/>
      <c r="B24" s="63">
        <v>2015</v>
      </c>
      <c r="C24" s="52" t="s">
        <v>181</v>
      </c>
      <c r="D24" s="52" t="s">
        <v>101</v>
      </c>
      <c r="E24" s="50"/>
      <c r="F24" s="56">
        <f t="shared" si="0"/>
        <v>0</v>
      </c>
      <c r="G24" s="57">
        <f>E24 * 0.0082956036</f>
        <v>0</v>
      </c>
      <c r="H24" s="57">
        <f>E24 * 0.0003372653</f>
        <v>0</v>
      </c>
      <c r="I24" s="57">
        <f>E24 * 0.0000104484</f>
        <v>0</v>
      </c>
      <c r="J24" s="52" t="s">
        <v>176</v>
      </c>
      <c r="P24" s="64" t="s">
        <v>190</v>
      </c>
    </row>
    <row r="25" spans="1:16" x14ac:dyDescent="0.25">
      <c r="A25" s="95"/>
      <c r="B25" s="63">
        <v>2014</v>
      </c>
      <c r="C25" s="52" t="s">
        <v>181</v>
      </c>
      <c r="D25" s="52" t="s">
        <v>101</v>
      </c>
      <c r="E25" s="50"/>
      <c r="F25" s="56">
        <f t="shared" si="0"/>
        <v>0</v>
      </c>
      <c r="G25" s="57">
        <f>E25 * 0.0087375924</f>
        <v>0</v>
      </c>
      <c r="H25" s="57">
        <f>E25 * 0.0003216547</f>
        <v>0</v>
      </c>
      <c r="I25" s="57">
        <f>E25 * 0.000011527</f>
        <v>0</v>
      </c>
      <c r="J25" s="52" t="s">
        <v>176</v>
      </c>
      <c r="P25" s="64" t="s">
        <v>191</v>
      </c>
    </row>
    <row r="26" spans="1:16" x14ac:dyDescent="0.25">
      <c r="A26" s="95"/>
      <c r="B26" s="63">
        <v>2013</v>
      </c>
      <c r="C26" s="52" t="s">
        <v>181</v>
      </c>
      <c r="D26" s="52" t="s">
        <v>101</v>
      </c>
      <c r="E26" s="50"/>
      <c r="F26" s="56">
        <f t="shared" si="0"/>
        <v>0</v>
      </c>
      <c r="G26" s="57">
        <f>E26 * 0.0107930768</f>
        <v>0</v>
      </c>
      <c r="H26" s="57">
        <f>E26 * 0.0003223264</f>
        <v>0</v>
      </c>
      <c r="I26" s="57">
        <f>E26 * 0.0000154122</f>
        <v>0</v>
      </c>
      <c r="J26" s="52" t="s">
        <v>176</v>
      </c>
      <c r="P26" s="64" t="s">
        <v>192</v>
      </c>
    </row>
    <row r="27" spans="1:16" x14ac:dyDescent="0.25">
      <c r="A27" s="95"/>
      <c r="B27" s="63">
        <v>2012</v>
      </c>
      <c r="C27" s="52" t="s">
        <v>181</v>
      </c>
      <c r="D27" s="52" t="s">
        <v>101</v>
      </c>
      <c r="E27" s="50"/>
      <c r="F27" s="56">
        <f t="shared" si="0"/>
        <v>0</v>
      </c>
      <c r="G27" s="57">
        <f>E27 * 0.0130693387</f>
        <v>0</v>
      </c>
      <c r="H27" s="57">
        <f>E27 * 0.0003084275</f>
        <v>0</v>
      </c>
      <c r="I27" s="57">
        <f>E27 * 0.0000237422</f>
        <v>0</v>
      </c>
      <c r="J27" s="52" t="s">
        <v>176</v>
      </c>
      <c r="P27" s="64" t="s">
        <v>193</v>
      </c>
    </row>
    <row r="28" spans="1:16" x14ac:dyDescent="0.25">
      <c r="A28" s="95"/>
      <c r="B28" s="63">
        <v>2011</v>
      </c>
      <c r="C28" s="52" t="s">
        <v>181</v>
      </c>
      <c r="D28" s="52" t="s">
        <v>101</v>
      </c>
      <c r="E28" s="50"/>
      <c r="F28" s="56">
        <f t="shared" si="0"/>
        <v>0</v>
      </c>
      <c r="G28" s="57">
        <f>E28 * 0.0103756184</f>
        <v>0</v>
      </c>
      <c r="H28" s="57">
        <f>E28 * 0.0002905125</f>
        <v>0</v>
      </c>
      <c r="I28" s="57">
        <f>E28 * 0.0000144066</f>
        <v>0</v>
      </c>
      <c r="J28" s="52" t="s">
        <v>176</v>
      </c>
      <c r="P28" s="64" t="s">
        <v>194</v>
      </c>
    </row>
    <row r="29" spans="1:16" x14ac:dyDescent="0.25">
      <c r="E29" s="65" t="s">
        <v>116</v>
      </c>
      <c r="F29" s="56">
        <f>SUM(F16:F28)</f>
        <v>0</v>
      </c>
      <c r="G29" s="57">
        <f>SUM(G16:G28)</f>
        <v>0</v>
      </c>
      <c r="H29" s="57">
        <f>SUM(H16:H28)</f>
        <v>0</v>
      </c>
      <c r="I29" s="57">
        <f>SUM(I16:I28)</f>
        <v>0</v>
      </c>
    </row>
  </sheetData>
  <mergeCells count="11">
    <mergeCell ref="A1:J1"/>
    <mergeCell ref="A2:J2"/>
    <mergeCell ref="A4:J4"/>
    <mergeCell ref="A5:J5"/>
    <mergeCell ref="A6:J6"/>
    <mergeCell ref="A16:A28"/>
    <mergeCell ref="A8:J8"/>
    <mergeCell ref="A9:C9"/>
    <mergeCell ref="A10:A11"/>
    <mergeCell ref="A14:J14"/>
    <mergeCell ref="A15:C15"/>
  </mergeCells>
  <pageMargins left="0.7" right="0.7" top="0.75" bottom="0.75" header="0.3" footer="0.3"/>
  <pageSetup paperSize="9" orientation="portrait" horizontalDpi="300" verticalDpi="300"/>
  <headerFooter>
    <oddHeader>&amp;C&amp;"Calibri"&amp;9&amp;K000000 [IN-CONFIDENCE]&amp;1#_x000D_</oddHeader>
    <oddFooter>&amp;C_x000D_&amp;1#&amp;"Calibri"&amp;9&amp;K000000 [IN-CONFIDENCE]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0"/>
  <sheetViews>
    <sheetView showGridLines="0" workbookViewId="0">
      <selection sqref="A1:J1"/>
    </sheetView>
  </sheetViews>
  <sheetFormatPr defaultColWidth="11.42578125" defaultRowHeight="15" x14ac:dyDescent="0.25"/>
  <cols>
    <col min="1" max="1" width="50.7109375" customWidth="1"/>
    <col min="2" max="2" width="25.7109375" customWidth="1"/>
    <col min="3" max="8" width="17.7109375" customWidth="1"/>
    <col min="9" max="9" width="25.7109375" customWidth="1"/>
  </cols>
  <sheetData>
    <row r="1" spans="1:16" ht="31.5" x14ac:dyDescent="0.25">
      <c r="A1" s="98" t="s">
        <v>46</v>
      </c>
      <c r="B1" s="97"/>
      <c r="C1" s="97"/>
      <c r="D1" s="97"/>
      <c r="E1" s="97"/>
      <c r="F1" s="97"/>
      <c r="G1" s="97"/>
      <c r="H1" s="97"/>
      <c r="I1" s="97"/>
      <c r="J1" s="97"/>
    </row>
    <row r="2" spans="1:16" ht="23.25" x14ac:dyDescent="0.25">
      <c r="A2" s="99" t="s">
        <v>170</v>
      </c>
      <c r="B2" s="97"/>
      <c r="C2" s="97"/>
      <c r="D2" s="97"/>
      <c r="E2" s="97"/>
      <c r="F2" s="97"/>
      <c r="G2" s="97"/>
      <c r="H2" s="97"/>
      <c r="I2" s="97"/>
      <c r="J2" s="97"/>
    </row>
    <row r="4" spans="1:16" ht="31.5" x14ac:dyDescent="0.25">
      <c r="A4" s="98" t="s">
        <v>195</v>
      </c>
      <c r="B4" s="97"/>
      <c r="C4" s="97"/>
      <c r="D4" s="97"/>
      <c r="E4" s="97"/>
      <c r="F4" s="97"/>
      <c r="G4" s="97"/>
      <c r="H4" s="97"/>
      <c r="I4" s="97"/>
      <c r="J4" s="97"/>
    </row>
    <row r="5" spans="1:16" x14ac:dyDescent="0.25">
      <c r="A5" s="100" t="s">
        <v>49</v>
      </c>
      <c r="B5" s="97"/>
      <c r="C5" s="97"/>
      <c r="D5" s="97"/>
      <c r="E5" s="97"/>
      <c r="F5" s="97"/>
      <c r="G5" s="97"/>
      <c r="H5" s="97"/>
      <c r="I5" s="97"/>
      <c r="J5" s="97"/>
    </row>
    <row r="6" spans="1:16" ht="50.25" customHeight="1" x14ac:dyDescent="0.25">
      <c r="A6" s="101" t="s">
        <v>196</v>
      </c>
      <c r="B6" s="97"/>
      <c r="C6" s="97"/>
      <c r="D6" s="97"/>
      <c r="E6" s="97"/>
      <c r="F6" s="97"/>
      <c r="G6" s="97"/>
      <c r="H6" s="97"/>
      <c r="I6" s="97"/>
      <c r="J6" s="97"/>
    </row>
    <row r="8" spans="1:16" x14ac:dyDescent="0.25">
      <c r="A8" s="92" t="s">
        <v>197</v>
      </c>
      <c r="B8" s="92"/>
      <c r="C8" s="92"/>
      <c r="D8" s="92"/>
      <c r="E8" s="92"/>
      <c r="F8" s="92"/>
      <c r="G8" s="92"/>
      <c r="H8" s="92"/>
    </row>
    <row r="9" spans="1:16" x14ac:dyDescent="0.25">
      <c r="A9" s="93" t="s">
        <v>60</v>
      </c>
      <c r="B9" s="93"/>
      <c r="C9" s="59" t="s">
        <v>61</v>
      </c>
      <c r="D9" s="60" t="s">
        <v>62</v>
      </c>
      <c r="E9" s="58" t="s">
        <v>63</v>
      </c>
      <c r="F9" s="58" t="s">
        <v>64</v>
      </c>
      <c r="G9" s="58" t="s">
        <v>65</v>
      </c>
      <c r="H9" s="58" t="s">
        <v>66</v>
      </c>
      <c r="P9" s="61" t="s">
        <v>68</v>
      </c>
    </row>
    <row r="10" spans="1:16" x14ac:dyDescent="0.25">
      <c r="A10" s="95" t="s">
        <v>181</v>
      </c>
      <c r="B10" s="52">
        <v>2023</v>
      </c>
      <c r="C10" s="52" t="s">
        <v>101</v>
      </c>
      <c r="D10" s="50"/>
      <c r="E10" s="56">
        <f t="shared" ref="E10:E22" si="0">F10 + G10 + H10</f>
        <v>0</v>
      </c>
      <c r="F10" s="57">
        <f>D10 * 0.0702171519</f>
        <v>0</v>
      </c>
      <c r="G10" s="57">
        <f>D10 * 0.002598575</f>
        <v>0</v>
      </c>
      <c r="H10" s="57">
        <f>D10 * 0.0000760172</f>
        <v>0</v>
      </c>
      <c r="P10" s="64" t="s">
        <v>198</v>
      </c>
    </row>
    <row r="11" spans="1:16" x14ac:dyDescent="0.25">
      <c r="A11" s="95"/>
      <c r="B11" s="52">
        <v>2022</v>
      </c>
      <c r="C11" s="52" t="s">
        <v>101</v>
      </c>
      <c r="D11" s="50"/>
      <c r="E11" s="56">
        <f t="shared" si="0"/>
        <v>0</v>
      </c>
      <c r="F11" s="57">
        <f>D11 * 0.0744018729</f>
        <v>0</v>
      </c>
      <c r="G11" s="57">
        <f>D11 * 0.0027293908</f>
        <v>0</v>
      </c>
      <c r="H11" s="57">
        <f>D11 * 0.0000940161</f>
        <v>0</v>
      </c>
      <c r="P11" s="64" t="s">
        <v>199</v>
      </c>
    </row>
    <row r="12" spans="1:16" x14ac:dyDescent="0.25">
      <c r="A12" s="95"/>
      <c r="B12" s="52">
        <v>2021</v>
      </c>
      <c r="C12" s="52" t="s">
        <v>101</v>
      </c>
      <c r="D12" s="50"/>
      <c r="E12" s="56">
        <f t="shared" si="0"/>
        <v>0</v>
      </c>
      <c r="F12" s="57">
        <f>D12 * 0.1159614068</f>
        <v>0</v>
      </c>
      <c r="G12" s="57">
        <f>D12 * 0.0028200134</f>
        <v>0</v>
      </c>
      <c r="H12" s="57">
        <f>D12 * 0.0002549144</f>
        <v>0</v>
      </c>
      <c r="P12" s="64" t="s">
        <v>200</v>
      </c>
    </row>
    <row r="13" spans="1:16" x14ac:dyDescent="0.25">
      <c r="A13" s="95"/>
      <c r="B13" s="52">
        <v>2020</v>
      </c>
      <c r="C13" s="52" t="s">
        <v>101</v>
      </c>
      <c r="D13" s="50"/>
      <c r="E13" s="56">
        <f t="shared" si="0"/>
        <v>0</v>
      </c>
      <c r="F13" s="57">
        <f>D13 * 0.1160047224</f>
        <v>0</v>
      </c>
      <c r="G13" s="57">
        <f>D13 * 0.0029091623</f>
        <v>0</v>
      </c>
      <c r="H13" s="57">
        <f>D13 * 0.0001918714</f>
        <v>0</v>
      </c>
      <c r="P13" s="64" t="s">
        <v>201</v>
      </c>
    </row>
    <row r="14" spans="1:16" x14ac:dyDescent="0.25">
      <c r="A14" s="95"/>
      <c r="B14" s="52">
        <v>2019</v>
      </c>
      <c r="C14" s="52" t="s">
        <v>101</v>
      </c>
      <c r="D14" s="50"/>
      <c r="E14" s="56">
        <f t="shared" si="0"/>
        <v>0</v>
      </c>
      <c r="F14" s="57">
        <f>D14 * 0.1073358858</f>
        <v>0</v>
      </c>
      <c r="G14" s="57">
        <f>D14 * 0.0030453512</f>
        <v>0</v>
      </c>
      <c r="H14" s="57">
        <f>D14 * 0.0001721479</f>
        <v>0</v>
      </c>
      <c r="P14" s="64" t="s">
        <v>202</v>
      </c>
    </row>
    <row r="15" spans="1:16" x14ac:dyDescent="0.25">
      <c r="A15" s="95"/>
      <c r="B15" s="52">
        <v>2018</v>
      </c>
      <c r="C15" s="52" t="s">
        <v>101</v>
      </c>
      <c r="D15" s="50"/>
      <c r="E15" s="56">
        <f t="shared" si="0"/>
        <v>0</v>
      </c>
      <c r="F15" s="57">
        <f>D15 * 0.0943350172</f>
        <v>0</v>
      </c>
      <c r="G15" s="57">
        <f>D15 * 0.003405028</f>
        <v>0</v>
      </c>
      <c r="H15" s="57">
        <f>D15 * 0.0001204261</f>
        <v>0</v>
      </c>
      <c r="P15" s="64" t="s">
        <v>203</v>
      </c>
    </row>
    <row r="16" spans="1:16" x14ac:dyDescent="0.25">
      <c r="A16" s="95"/>
      <c r="B16" s="52">
        <v>2017</v>
      </c>
      <c r="C16" s="52" t="s">
        <v>101</v>
      </c>
      <c r="D16" s="50"/>
      <c r="E16" s="56">
        <f t="shared" si="0"/>
        <v>0</v>
      </c>
      <c r="F16" s="57">
        <f>D16 * 0.0992217914</f>
        <v>0</v>
      </c>
      <c r="G16" s="57">
        <f>D16 * 0.0038009348</f>
        <v>0</v>
      </c>
      <c r="H16" s="57">
        <f>D16 * 0.0000856678</f>
        <v>0</v>
      </c>
      <c r="P16" s="64" t="s">
        <v>204</v>
      </c>
    </row>
    <row r="17" spans="1:16" x14ac:dyDescent="0.25">
      <c r="A17" s="95"/>
      <c r="B17" s="52">
        <v>2016</v>
      </c>
      <c r="C17" s="52" t="s">
        <v>101</v>
      </c>
      <c r="D17" s="50"/>
      <c r="E17" s="56">
        <f t="shared" si="0"/>
        <v>0</v>
      </c>
      <c r="F17" s="57">
        <f>D17 * 0.0873596243</f>
        <v>0</v>
      </c>
      <c r="G17" s="57">
        <f>D17 * 0.0041121544</f>
        <v>0</v>
      </c>
      <c r="H17" s="57">
        <f>D17 * 0.0000731438</f>
        <v>0</v>
      </c>
      <c r="P17" s="64" t="s">
        <v>205</v>
      </c>
    </row>
    <row r="18" spans="1:16" x14ac:dyDescent="0.25">
      <c r="A18" s="95"/>
      <c r="B18" s="52">
        <v>2015</v>
      </c>
      <c r="C18" s="52" t="s">
        <v>101</v>
      </c>
      <c r="D18" s="50"/>
      <c r="E18" s="56">
        <f t="shared" si="0"/>
        <v>0</v>
      </c>
      <c r="F18" s="57">
        <f>D18 * 0.1116489315</f>
        <v>0</v>
      </c>
      <c r="G18" s="57">
        <f>D18 * 0.0045391894</f>
        <v>0</v>
      </c>
      <c r="H18" s="57">
        <f>D18 * 0.000140623</f>
        <v>0</v>
      </c>
      <c r="P18" s="64" t="s">
        <v>206</v>
      </c>
    </row>
    <row r="19" spans="1:16" x14ac:dyDescent="0.25">
      <c r="A19" s="95"/>
      <c r="B19" s="52">
        <v>2014</v>
      </c>
      <c r="C19" s="52" t="s">
        <v>101</v>
      </c>
      <c r="D19" s="50"/>
      <c r="E19" s="56">
        <f t="shared" si="0"/>
        <v>0</v>
      </c>
      <c r="F19" s="57">
        <f>D19 * 0.117625722</f>
        <v>0</v>
      </c>
      <c r="G19" s="57">
        <f>D19 * 0.0043301244</f>
        <v>0</v>
      </c>
      <c r="H19" s="57">
        <f>D19 * 0.0001551769</f>
        <v>0</v>
      </c>
      <c r="P19" s="64" t="s">
        <v>207</v>
      </c>
    </row>
    <row r="20" spans="1:16" x14ac:dyDescent="0.25">
      <c r="A20" s="95"/>
      <c r="B20" s="52">
        <v>2013</v>
      </c>
      <c r="C20" s="52" t="s">
        <v>101</v>
      </c>
      <c r="D20" s="50"/>
      <c r="E20" s="56">
        <f t="shared" si="0"/>
        <v>0</v>
      </c>
      <c r="F20" s="57">
        <f>D20 * 0.141741891</f>
        <v>0</v>
      </c>
      <c r="G20" s="57">
        <f>D20 * 0.0042330052</f>
        <v>0</v>
      </c>
      <c r="H20" s="57">
        <f>D20 * 0.0002024037</f>
        <v>0</v>
      </c>
      <c r="P20" s="64" t="s">
        <v>208</v>
      </c>
    </row>
    <row r="21" spans="1:16" x14ac:dyDescent="0.25">
      <c r="A21" s="95"/>
      <c r="B21" s="52">
        <v>2012</v>
      </c>
      <c r="C21" s="52" t="s">
        <v>101</v>
      </c>
      <c r="D21" s="50"/>
      <c r="E21" s="56">
        <f t="shared" si="0"/>
        <v>0</v>
      </c>
      <c r="F21" s="57">
        <f>D21 * 0.1686890563</f>
        <v>0</v>
      </c>
      <c r="G21" s="57">
        <f>D21 * 0.0039809474</f>
        <v>0</v>
      </c>
      <c r="H21" s="57">
        <f>D21 * 0.0003064463</f>
        <v>0</v>
      </c>
      <c r="P21" s="64" t="s">
        <v>209</v>
      </c>
    </row>
    <row r="22" spans="1:16" x14ac:dyDescent="0.25">
      <c r="A22" s="95"/>
      <c r="B22" s="52">
        <v>2011</v>
      </c>
      <c r="C22" s="52" t="s">
        <v>101</v>
      </c>
      <c r="D22" s="50"/>
      <c r="E22" s="56">
        <f t="shared" si="0"/>
        <v>0</v>
      </c>
      <c r="F22" s="57">
        <f>D22 * 0.1347580255</f>
        <v>0</v>
      </c>
      <c r="G22" s="57">
        <f>D22 * 0.0037731622</f>
        <v>0</v>
      </c>
      <c r="H22" s="57">
        <f>D22 * 0.0001871122</f>
        <v>0</v>
      </c>
      <c r="P22" s="64" t="s">
        <v>210</v>
      </c>
    </row>
    <row r="23" spans="1:16" x14ac:dyDescent="0.25">
      <c r="D23" s="65" t="s">
        <v>116</v>
      </c>
      <c r="E23" s="56">
        <f>SUM(E10:E22)</f>
        <v>0</v>
      </c>
      <c r="F23" s="57">
        <f>SUM(F10:F22)</f>
        <v>0</v>
      </c>
      <c r="G23" s="57">
        <f>SUM(G10:G22)</f>
        <v>0</v>
      </c>
      <c r="H23" s="57">
        <f>SUM(H10:H22)</f>
        <v>0</v>
      </c>
    </row>
    <row r="25" spans="1:16" x14ac:dyDescent="0.25">
      <c r="A25" s="92" t="s">
        <v>211</v>
      </c>
      <c r="B25" s="92"/>
      <c r="C25" s="92"/>
      <c r="D25" s="92"/>
      <c r="E25" s="92"/>
      <c r="F25" s="92"/>
      <c r="G25" s="92"/>
      <c r="H25" s="92"/>
    </row>
    <row r="26" spans="1:16" x14ac:dyDescent="0.25">
      <c r="A26" s="93" t="s">
        <v>60</v>
      </c>
      <c r="B26" s="93"/>
      <c r="C26" s="59" t="s">
        <v>61</v>
      </c>
      <c r="D26" s="60" t="s">
        <v>62</v>
      </c>
      <c r="E26" s="58" t="s">
        <v>63</v>
      </c>
      <c r="F26" s="58" t="s">
        <v>64</v>
      </c>
      <c r="G26" s="58" t="s">
        <v>65</v>
      </c>
      <c r="H26" s="58" t="s">
        <v>66</v>
      </c>
      <c r="P26" s="61" t="s">
        <v>68</v>
      </c>
    </row>
    <row r="27" spans="1:16" x14ac:dyDescent="0.25">
      <c r="A27" s="95" t="s">
        <v>212</v>
      </c>
      <c r="B27" s="94" t="s">
        <v>181</v>
      </c>
      <c r="C27" s="94"/>
      <c r="D27" s="94"/>
      <c r="E27" s="94"/>
      <c r="F27" s="94"/>
      <c r="G27" s="94"/>
      <c r="H27" s="94"/>
    </row>
    <row r="28" spans="1:16" x14ac:dyDescent="0.25">
      <c r="A28" s="95"/>
      <c r="B28" s="52" t="s">
        <v>213</v>
      </c>
      <c r="C28" s="52" t="s">
        <v>101</v>
      </c>
      <c r="D28" s="50"/>
      <c r="E28" s="56">
        <f t="shared" ref="E28:E39" si="1">F28 + G28 + H28</f>
        <v>0</v>
      </c>
      <c r="F28" s="57">
        <f>D28 * 0.0688097779</f>
        <v>0</v>
      </c>
      <c r="G28" s="57">
        <f>D28 * 0.002743739</f>
        <v>0</v>
      </c>
      <c r="H28" s="57">
        <f>D28 * 0.0001166324</f>
        <v>0</v>
      </c>
      <c r="P28" s="64" t="s">
        <v>214</v>
      </c>
    </row>
    <row r="29" spans="1:16" x14ac:dyDescent="0.25">
      <c r="A29" s="95"/>
      <c r="B29" s="52" t="s">
        <v>215</v>
      </c>
      <c r="C29" s="52" t="s">
        <v>101</v>
      </c>
      <c r="D29" s="50"/>
      <c r="E29" s="56">
        <f t="shared" si="1"/>
        <v>0</v>
      </c>
      <c r="F29" s="57">
        <f>D29 * 0.0924261314</f>
        <v>0</v>
      </c>
      <c r="G29" s="57">
        <f>D29 * 0.002619633</f>
        <v>0</v>
      </c>
      <c r="H29" s="57">
        <f>D29 * 0.0001051102</f>
        <v>0</v>
      </c>
      <c r="P29" s="64" t="s">
        <v>216</v>
      </c>
    </row>
    <row r="30" spans="1:16" x14ac:dyDescent="0.25">
      <c r="A30" s="95"/>
      <c r="B30" s="52" t="s">
        <v>217</v>
      </c>
      <c r="C30" s="52" t="s">
        <v>101</v>
      </c>
      <c r="D30" s="50"/>
      <c r="E30" s="56">
        <f t="shared" si="1"/>
        <v>0</v>
      </c>
      <c r="F30" s="57">
        <f>D30 * 0.0479607731</f>
        <v>0</v>
      </c>
      <c r="G30" s="57">
        <f>D30 * 0.0022696573</f>
        <v>0</v>
      </c>
      <c r="H30" s="57">
        <f>D30 * 0.0000247104</f>
        <v>0</v>
      </c>
      <c r="P30" s="64" t="s">
        <v>218</v>
      </c>
    </row>
    <row r="31" spans="1:16" x14ac:dyDescent="0.25">
      <c r="A31" s="95"/>
      <c r="B31" s="52" t="s">
        <v>219</v>
      </c>
      <c r="C31" s="52" t="s">
        <v>101</v>
      </c>
      <c r="D31" s="50"/>
      <c r="E31" s="56">
        <f t="shared" si="1"/>
        <v>0</v>
      </c>
      <c r="F31" s="57">
        <f>D31 * 0.0698683413</f>
        <v>0</v>
      </c>
      <c r="G31" s="57">
        <f>D31 * 0.0027795836</f>
        <v>0</v>
      </c>
      <c r="H31" s="57">
        <f>D31 * 0.0000552658</f>
        <v>0</v>
      </c>
      <c r="P31" s="64" t="s">
        <v>220</v>
      </c>
    </row>
    <row r="32" spans="1:16" x14ac:dyDescent="0.25">
      <c r="A32" s="95"/>
      <c r="B32" s="52" t="s">
        <v>221</v>
      </c>
      <c r="C32" s="52" t="s">
        <v>101</v>
      </c>
      <c r="D32" s="50"/>
      <c r="E32" s="56">
        <f t="shared" si="1"/>
        <v>0</v>
      </c>
      <c r="F32" s="57">
        <f>D32 * 0.0341719367</f>
        <v>0</v>
      </c>
      <c r="G32" s="57">
        <f>D32 * 0.0026824028</f>
        <v>0</v>
      </c>
      <c r="H32" s="57">
        <f>D32 * 0.0000167727</f>
        <v>0</v>
      </c>
      <c r="P32" s="64" t="s">
        <v>222</v>
      </c>
    </row>
    <row r="33" spans="1:16" x14ac:dyDescent="0.25">
      <c r="A33" s="95"/>
      <c r="B33" s="52" t="s">
        <v>223</v>
      </c>
      <c r="C33" s="52" t="s">
        <v>101</v>
      </c>
      <c r="D33" s="50"/>
      <c r="E33" s="56">
        <f t="shared" si="1"/>
        <v>0</v>
      </c>
      <c r="F33" s="57">
        <f>D33 * 0.0551360861</f>
        <v>0</v>
      </c>
      <c r="G33" s="57">
        <f>D33 * 0.0026249984</f>
        <v>0</v>
      </c>
      <c r="H33" s="57">
        <f>D33 * 0.0000321583</f>
        <v>0</v>
      </c>
      <c r="P33" s="64" t="s">
        <v>224</v>
      </c>
    </row>
    <row r="34" spans="1:16" x14ac:dyDescent="0.25">
      <c r="A34" s="95"/>
      <c r="B34" s="52" t="s">
        <v>225</v>
      </c>
      <c r="C34" s="52" t="s">
        <v>101</v>
      </c>
      <c r="D34" s="50"/>
      <c r="E34" s="56">
        <f t="shared" si="1"/>
        <v>0</v>
      </c>
      <c r="F34" s="57">
        <f>D34 * 0.1099644473</f>
        <v>0</v>
      </c>
      <c r="G34" s="57">
        <f>D34 * 0.0028507077</f>
        <v>0</v>
      </c>
      <c r="H34" s="57">
        <f>D34 * 0.0001794099</f>
        <v>0</v>
      </c>
      <c r="P34" s="64" t="s">
        <v>226</v>
      </c>
    </row>
    <row r="35" spans="1:16" x14ac:dyDescent="0.25">
      <c r="A35" s="95"/>
      <c r="B35" s="52" t="s">
        <v>227</v>
      </c>
      <c r="C35" s="52" t="s">
        <v>101</v>
      </c>
      <c r="D35" s="50"/>
      <c r="E35" s="56">
        <f t="shared" si="1"/>
        <v>0</v>
      </c>
      <c r="F35" s="57">
        <f>D35 * 0.1009492343</f>
        <v>0</v>
      </c>
      <c r="G35" s="57">
        <f>D35 * 0.002770732</f>
        <v>0</v>
      </c>
      <c r="H35" s="57">
        <f>D35 * 0.0001556815</f>
        <v>0</v>
      </c>
      <c r="P35" s="64" t="s">
        <v>228</v>
      </c>
    </row>
    <row r="36" spans="1:16" x14ac:dyDescent="0.25">
      <c r="A36" s="95"/>
      <c r="B36" s="52" t="s">
        <v>229</v>
      </c>
      <c r="C36" s="52" t="s">
        <v>101</v>
      </c>
      <c r="D36" s="50"/>
      <c r="E36" s="56">
        <f t="shared" si="1"/>
        <v>0</v>
      </c>
      <c r="F36" s="57">
        <f>D36 * 0.0486306901</f>
        <v>0</v>
      </c>
      <c r="G36" s="57">
        <f>D36 * 0.0027510119</f>
        <v>0</v>
      </c>
      <c r="H36" s="57">
        <f>D36 * 0.0000233951</f>
        <v>0</v>
      </c>
      <c r="P36" s="64" t="s">
        <v>230</v>
      </c>
    </row>
    <row r="37" spans="1:16" x14ac:dyDescent="0.25">
      <c r="A37" s="95"/>
      <c r="B37" s="52" t="s">
        <v>231</v>
      </c>
      <c r="C37" s="52" t="s">
        <v>101</v>
      </c>
      <c r="D37" s="50"/>
      <c r="E37" s="56">
        <f t="shared" si="1"/>
        <v>0</v>
      </c>
      <c r="F37" s="57">
        <f>D37 * 0.0938445004</f>
        <v>0</v>
      </c>
      <c r="G37" s="57">
        <f>D37 * 0.0024886808</f>
        <v>0</v>
      </c>
      <c r="H37" s="57">
        <f>D37 * 0.000150644</f>
        <v>0</v>
      </c>
      <c r="P37" s="64" t="s">
        <v>232</v>
      </c>
    </row>
    <row r="38" spans="1:16" x14ac:dyDescent="0.25">
      <c r="A38" s="95"/>
      <c r="B38" s="52" t="s">
        <v>233</v>
      </c>
      <c r="C38" s="52" t="s">
        <v>101</v>
      </c>
      <c r="D38" s="50"/>
      <c r="E38" s="56">
        <f t="shared" si="1"/>
        <v>0</v>
      </c>
      <c r="F38" s="57">
        <f>D38 * 0.1734724175</f>
        <v>0</v>
      </c>
      <c r="G38" s="57">
        <f>D38 * 0.0027449833</f>
        <v>0</v>
      </c>
      <c r="H38" s="57">
        <f>D38 * 0.0004705613</f>
        <v>0</v>
      </c>
      <c r="P38" s="64" t="s">
        <v>234</v>
      </c>
    </row>
    <row r="39" spans="1:16" x14ac:dyDescent="0.25">
      <c r="A39" s="95"/>
      <c r="B39" s="52" t="s">
        <v>235</v>
      </c>
      <c r="C39" s="52" t="s">
        <v>101</v>
      </c>
      <c r="D39" s="50"/>
      <c r="E39" s="56">
        <f t="shared" si="1"/>
        <v>0</v>
      </c>
      <c r="F39" s="57">
        <f>D39 * 0.148877126</f>
        <v>0</v>
      </c>
      <c r="G39" s="57">
        <f>D39 * 0.0033495866</f>
        <v>0</v>
      </c>
      <c r="H39" s="57">
        <f>D39 * 0.0003810318</f>
        <v>0</v>
      </c>
      <c r="P39" s="64" t="s">
        <v>236</v>
      </c>
    </row>
    <row r="40" spans="1:16" x14ac:dyDescent="0.25">
      <c r="D40" s="65" t="s">
        <v>116</v>
      </c>
      <c r="E40" s="56">
        <f>SUM(E27:E39)</f>
        <v>0</v>
      </c>
      <c r="F40" s="57">
        <f>SUM(F27:F39)</f>
        <v>0</v>
      </c>
      <c r="G40" s="57">
        <f>SUM(G27:G39)</f>
        <v>0</v>
      </c>
      <c r="H40" s="57">
        <f>SUM(H27:H39)</f>
        <v>0</v>
      </c>
    </row>
  </sheetData>
  <mergeCells count="12">
    <mergeCell ref="A1:J1"/>
    <mergeCell ref="A2:J2"/>
    <mergeCell ref="A4:J4"/>
    <mergeCell ref="A5:J5"/>
    <mergeCell ref="A6:J6"/>
    <mergeCell ref="B27:H27"/>
    <mergeCell ref="A27:A39"/>
    <mergeCell ref="A8:H8"/>
    <mergeCell ref="A9:B9"/>
    <mergeCell ref="A10:A22"/>
    <mergeCell ref="A25:H25"/>
    <mergeCell ref="A26:B26"/>
  </mergeCells>
  <pageMargins left="0.7" right="0.7" top="0.75" bottom="0.75" header="0.3" footer="0.3"/>
  <pageSetup paperSize="9" orientation="portrait" horizontalDpi="300" verticalDpi="300"/>
  <headerFooter>
    <oddHeader>&amp;C&amp;"Calibri"&amp;9&amp;K000000 [IN-CONFIDENCE]&amp;1#_x000D_</oddHeader>
    <oddFooter>&amp;C_x000D_&amp;1#&amp;"Calibri"&amp;9&amp;K000000 [IN-CONFIDENCE]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
  <sheetViews>
    <sheetView showGridLines="0" workbookViewId="0">
      <selection sqref="A1:J1"/>
    </sheetView>
  </sheetViews>
  <sheetFormatPr defaultColWidth="11.42578125" defaultRowHeight="15" x14ac:dyDescent="0.25"/>
  <cols>
    <col min="1" max="1" width="50.7109375" customWidth="1"/>
    <col min="2" max="2" width="25.7109375" customWidth="1"/>
    <col min="3" max="8" width="17.7109375" customWidth="1"/>
    <col min="9" max="9" width="38.7109375" customWidth="1"/>
    <col min="10" max="10" width="20.7109375" customWidth="1"/>
  </cols>
  <sheetData>
    <row r="1" spans="1:16" ht="31.5" x14ac:dyDescent="0.25">
      <c r="A1" s="98" t="s">
        <v>46</v>
      </c>
      <c r="B1" s="97"/>
      <c r="C1" s="97"/>
      <c r="D1" s="97"/>
      <c r="E1" s="97"/>
      <c r="F1" s="97"/>
      <c r="G1" s="97"/>
      <c r="H1" s="97"/>
      <c r="I1" s="97"/>
      <c r="J1" s="97"/>
    </row>
    <row r="2" spans="1:16" ht="23.25" x14ac:dyDescent="0.25">
      <c r="A2" s="99" t="s">
        <v>237</v>
      </c>
      <c r="B2" s="97"/>
      <c r="C2" s="97"/>
      <c r="D2" s="97"/>
      <c r="E2" s="97"/>
      <c r="F2" s="97"/>
      <c r="G2" s="97"/>
      <c r="H2" s="97"/>
      <c r="I2" s="97"/>
      <c r="J2" s="97"/>
    </row>
    <row r="4" spans="1:16" ht="31.5" x14ac:dyDescent="0.25">
      <c r="A4" s="98" t="s">
        <v>238</v>
      </c>
      <c r="B4" s="97"/>
      <c r="C4" s="97"/>
      <c r="D4" s="97"/>
      <c r="E4" s="97"/>
      <c r="F4" s="97"/>
      <c r="G4" s="97"/>
      <c r="H4" s="97"/>
      <c r="I4" s="97"/>
      <c r="J4" s="97"/>
    </row>
    <row r="5" spans="1:16" x14ac:dyDescent="0.25">
      <c r="A5" s="100" t="s">
        <v>49</v>
      </c>
      <c r="B5" s="97"/>
      <c r="C5" s="97"/>
      <c r="D5" s="97"/>
      <c r="E5" s="97"/>
      <c r="F5" s="97"/>
      <c r="G5" s="97"/>
      <c r="H5" s="97"/>
      <c r="I5" s="97"/>
      <c r="J5" s="97"/>
    </row>
    <row r="6" spans="1:16" ht="49.5" customHeight="1" x14ac:dyDescent="0.25">
      <c r="A6" s="101" t="s">
        <v>239</v>
      </c>
      <c r="B6" s="97"/>
      <c r="C6" s="97"/>
      <c r="D6" s="97"/>
      <c r="E6" s="97"/>
      <c r="F6" s="97"/>
      <c r="G6" s="97"/>
      <c r="H6" s="97"/>
      <c r="I6" s="97"/>
      <c r="J6" s="97"/>
    </row>
    <row r="8" spans="1:16" x14ac:dyDescent="0.25">
      <c r="A8" s="92" t="s">
        <v>238</v>
      </c>
      <c r="B8" s="92"/>
      <c r="C8" s="92"/>
      <c r="D8" s="92"/>
      <c r="E8" s="92"/>
      <c r="F8" s="92"/>
      <c r="G8" s="92"/>
      <c r="H8" s="92"/>
      <c r="I8" s="92"/>
      <c r="J8" s="92"/>
    </row>
    <row r="9" spans="1:16" x14ac:dyDescent="0.25">
      <c r="A9" s="93" t="s">
        <v>60</v>
      </c>
      <c r="B9" s="93"/>
      <c r="C9" s="59" t="s">
        <v>61</v>
      </c>
      <c r="D9" s="60" t="s">
        <v>62</v>
      </c>
      <c r="E9" s="58" t="s">
        <v>63</v>
      </c>
      <c r="F9" s="58" t="s">
        <v>64</v>
      </c>
      <c r="G9" s="58" t="s">
        <v>65</v>
      </c>
      <c r="H9" s="58" t="s">
        <v>66</v>
      </c>
      <c r="I9" s="59" t="s">
        <v>240</v>
      </c>
      <c r="J9" s="59" t="s">
        <v>67</v>
      </c>
      <c r="P9" s="61" t="s">
        <v>68</v>
      </c>
    </row>
    <row r="10" spans="1:16" x14ac:dyDescent="0.25">
      <c r="A10" s="102" t="s">
        <v>241</v>
      </c>
      <c r="B10" s="103" t="s">
        <v>241</v>
      </c>
      <c r="C10" s="52" t="s">
        <v>242</v>
      </c>
      <c r="D10" s="50"/>
      <c r="E10" s="56">
        <f>F10 + G10 + H10</f>
        <v>0</v>
      </c>
      <c r="F10" s="57">
        <f>D10 * 0.3321729114</f>
        <v>0</v>
      </c>
      <c r="G10" s="57">
        <f>D10 * 0.012292954</f>
        <v>0</v>
      </c>
      <c r="H10" s="57">
        <f>D10 * 0.0003596111</f>
        <v>0</v>
      </c>
      <c r="I10" s="52" t="s">
        <v>243</v>
      </c>
      <c r="J10" s="52" t="s">
        <v>176</v>
      </c>
      <c r="P10" s="64" t="s">
        <v>244</v>
      </c>
    </row>
    <row r="11" spans="1:16" x14ac:dyDescent="0.25">
      <c r="A11" s="102" t="s">
        <v>245</v>
      </c>
      <c r="B11" s="103" t="s">
        <v>245</v>
      </c>
      <c r="C11" s="52" t="s">
        <v>242</v>
      </c>
      <c r="D11" s="50"/>
      <c r="E11" s="56">
        <f>F11 + G11 + H11</f>
        <v>0</v>
      </c>
      <c r="F11" s="57">
        <f>D11 * 0.049597089</f>
        <v>0</v>
      </c>
      <c r="G11" s="57">
        <f>D11 * 0.001835474</f>
        <v>0</v>
      </c>
      <c r="H11" s="57">
        <f>D11 * 0.0000536939</f>
        <v>0</v>
      </c>
      <c r="I11" s="52" t="s">
        <v>243</v>
      </c>
      <c r="J11" s="52" t="s">
        <v>176</v>
      </c>
      <c r="P11" s="64" t="s">
        <v>246</v>
      </c>
    </row>
    <row r="12" spans="1:16" x14ac:dyDescent="0.25">
      <c r="A12" s="102" t="s">
        <v>247</v>
      </c>
      <c r="B12" s="103" t="s">
        <v>247</v>
      </c>
      <c r="C12" s="52" t="s">
        <v>242</v>
      </c>
      <c r="D12" s="50"/>
      <c r="E12" s="56">
        <f>F12 + G12 + H12</f>
        <v>0</v>
      </c>
      <c r="F12" s="57">
        <f>D12 * 0.7277790627</f>
        <v>0</v>
      </c>
      <c r="G12" s="57">
        <f>D12 * 0.026933426</f>
        <v>0</v>
      </c>
      <c r="H12" s="57">
        <f>D12 * 0.0007878952</f>
        <v>0</v>
      </c>
      <c r="I12" s="52" t="s">
        <v>243</v>
      </c>
      <c r="J12" s="52" t="s">
        <v>176</v>
      </c>
      <c r="P12" s="64" t="s">
        <v>248</v>
      </c>
    </row>
    <row r="13" spans="1:16" x14ac:dyDescent="0.25">
      <c r="D13" s="65" t="s">
        <v>116</v>
      </c>
      <c r="E13" s="56">
        <f>SUM(E10:E12)</f>
        <v>0</v>
      </c>
      <c r="F13" s="57">
        <f>SUM(F10:F12)</f>
        <v>0</v>
      </c>
      <c r="G13" s="57">
        <f>SUM(G10:G12)</f>
        <v>0</v>
      </c>
      <c r="H13" s="57">
        <f>SUM(H10:H12)</f>
        <v>0</v>
      </c>
    </row>
  </sheetData>
  <mergeCells count="10">
    <mergeCell ref="A1:J1"/>
    <mergeCell ref="A2:J2"/>
    <mergeCell ref="A4:J4"/>
    <mergeCell ref="A5:J5"/>
    <mergeCell ref="A6:J6"/>
    <mergeCell ref="A8:J8"/>
    <mergeCell ref="A9:B9"/>
    <mergeCell ref="A10:B10"/>
    <mergeCell ref="A11:B11"/>
    <mergeCell ref="A12:B12"/>
  </mergeCells>
  <pageMargins left="0.7" right="0.7" top="0.75" bottom="0.75" header="0.3" footer="0.3"/>
  <pageSetup paperSize="9" orientation="portrait" horizontalDpi="300" verticalDpi="300"/>
  <headerFooter>
    <oddHeader>&amp;C&amp;"Calibri"&amp;9&amp;K000000 [IN-CONFIDENCE]&amp;1#_x000D_</oddHeader>
    <oddFooter>&amp;C_x000D_&amp;1#&amp;"Calibri"&amp;9&amp;K000000 [IN-CONFIDENCE]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22"/>
  <sheetViews>
    <sheetView showGridLines="0" topLeftCell="A22" zoomScale="55" zoomScaleNormal="55" workbookViewId="0">
      <selection activeCell="I124" sqref="I124"/>
    </sheetView>
  </sheetViews>
  <sheetFormatPr defaultColWidth="11.42578125" defaultRowHeight="15" x14ac:dyDescent="0.25"/>
  <cols>
    <col min="1" max="1" width="50.7109375" customWidth="1"/>
    <col min="2" max="2" width="35.7109375" customWidth="1"/>
    <col min="3" max="7" width="17.7109375" customWidth="1"/>
  </cols>
  <sheetData>
    <row r="1" spans="1:16" ht="31.5" x14ac:dyDescent="0.25">
      <c r="A1" s="98" t="s">
        <v>46</v>
      </c>
      <c r="B1" s="97"/>
      <c r="C1" s="97"/>
      <c r="D1" s="97"/>
      <c r="E1" s="97"/>
      <c r="F1" s="97"/>
      <c r="G1" s="97"/>
      <c r="H1" s="97"/>
      <c r="I1" s="97"/>
      <c r="J1" s="97"/>
    </row>
    <row r="2" spans="1:16" ht="23.25" x14ac:dyDescent="0.25">
      <c r="A2" s="99" t="s">
        <v>249</v>
      </c>
      <c r="B2" s="97"/>
      <c r="C2" s="97"/>
      <c r="D2" s="97"/>
      <c r="E2" s="97"/>
      <c r="F2" s="97"/>
      <c r="G2" s="97"/>
      <c r="H2" s="97"/>
      <c r="I2" s="97"/>
      <c r="J2" s="97"/>
    </row>
    <row r="4" spans="1:16" ht="31.5" x14ac:dyDescent="0.25">
      <c r="A4" s="98" t="s">
        <v>250</v>
      </c>
      <c r="B4" s="97"/>
      <c r="C4" s="97"/>
      <c r="D4" s="97"/>
      <c r="E4" s="97"/>
      <c r="F4" s="97"/>
      <c r="G4" s="97"/>
      <c r="H4" s="97"/>
      <c r="I4" s="97"/>
      <c r="J4" s="97"/>
    </row>
    <row r="5" spans="1:16" x14ac:dyDescent="0.25">
      <c r="A5" s="100" t="s">
        <v>49</v>
      </c>
      <c r="B5" s="97"/>
      <c r="C5" s="97"/>
      <c r="D5" s="97"/>
      <c r="E5" s="97"/>
      <c r="F5" s="97"/>
      <c r="G5" s="97"/>
      <c r="H5" s="97"/>
      <c r="I5" s="97"/>
      <c r="J5" s="97"/>
    </row>
    <row r="6" spans="1:16" ht="19.5" customHeight="1" x14ac:dyDescent="0.25">
      <c r="A6" s="101" t="s">
        <v>172</v>
      </c>
      <c r="B6" s="97"/>
      <c r="C6" s="97"/>
      <c r="D6" s="97"/>
      <c r="E6" s="97"/>
      <c r="F6" s="97"/>
      <c r="G6" s="97"/>
      <c r="H6" s="97"/>
      <c r="I6" s="97"/>
      <c r="J6" s="97"/>
    </row>
    <row r="8" spans="1:16" x14ac:dyDescent="0.25">
      <c r="A8" s="92" t="s">
        <v>251</v>
      </c>
      <c r="B8" s="92"/>
      <c r="C8" s="92"/>
      <c r="D8" s="92"/>
      <c r="E8" s="92"/>
      <c r="F8" s="92"/>
    </row>
    <row r="9" spans="1:16" x14ac:dyDescent="0.25">
      <c r="A9" s="93" t="s">
        <v>21</v>
      </c>
      <c r="B9" s="93"/>
      <c r="C9" s="93"/>
      <c r="D9" s="59" t="s">
        <v>61</v>
      </c>
      <c r="E9" s="60" t="s">
        <v>62</v>
      </c>
      <c r="F9" s="58" t="s">
        <v>63</v>
      </c>
      <c r="P9" s="61" t="s">
        <v>68</v>
      </c>
    </row>
    <row r="10" spans="1:16" x14ac:dyDescent="0.25">
      <c r="A10" s="95" t="s">
        <v>252</v>
      </c>
      <c r="B10" s="63" t="s">
        <v>253</v>
      </c>
      <c r="C10" s="52" t="s">
        <v>254</v>
      </c>
      <c r="D10" s="52" t="s">
        <v>72</v>
      </c>
      <c r="E10" s="50"/>
      <c r="F10" s="56">
        <f>E10 * 1</f>
        <v>0</v>
      </c>
      <c r="P10" s="64" t="s">
        <v>255</v>
      </c>
    </row>
    <row r="11" spans="1:16" x14ac:dyDescent="0.25">
      <c r="A11" s="95"/>
      <c r="B11" s="63" t="s">
        <v>256</v>
      </c>
      <c r="C11" s="52" t="s">
        <v>257</v>
      </c>
      <c r="D11" s="52" t="s">
        <v>72</v>
      </c>
      <c r="E11" s="50"/>
      <c r="F11" s="56">
        <f>E11 * 28</f>
        <v>0</v>
      </c>
      <c r="P11" s="64" t="s">
        <v>258</v>
      </c>
    </row>
    <row r="12" spans="1:16" x14ac:dyDescent="0.25">
      <c r="A12" s="95"/>
      <c r="B12" s="63" t="s">
        <v>259</v>
      </c>
      <c r="C12" s="52" t="s">
        <v>260</v>
      </c>
      <c r="D12" s="52" t="s">
        <v>72</v>
      </c>
      <c r="E12" s="50"/>
      <c r="F12" s="56">
        <f>E12 * 3</f>
        <v>0</v>
      </c>
      <c r="P12" s="64" t="s">
        <v>261</v>
      </c>
    </row>
    <row r="13" spans="1:16" x14ac:dyDescent="0.25">
      <c r="A13" s="95"/>
      <c r="B13" s="63" t="s">
        <v>262</v>
      </c>
      <c r="C13" s="52" t="s">
        <v>263</v>
      </c>
      <c r="D13" s="52" t="s">
        <v>72</v>
      </c>
      <c r="E13" s="50"/>
      <c r="F13" s="56">
        <f>E13 * 265</f>
        <v>0</v>
      </c>
      <c r="P13" s="64" t="s">
        <v>264</v>
      </c>
    </row>
    <row r="14" spans="1:16" x14ac:dyDescent="0.25">
      <c r="A14" s="95"/>
      <c r="B14" s="63" t="s">
        <v>265</v>
      </c>
      <c r="C14" s="52" t="s">
        <v>266</v>
      </c>
      <c r="D14" s="52" t="s">
        <v>72</v>
      </c>
      <c r="E14" s="50"/>
      <c r="F14" s="56">
        <f>E14 * 3</f>
        <v>0</v>
      </c>
      <c r="P14" s="64" t="s">
        <v>267</v>
      </c>
    </row>
    <row r="15" spans="1:16" x14ac:dyDescent="0.25">
      <c r="A15" s="95" t="s">
        <v>268</v>
      </c>
      <c r="B15" s="63" t="s">
        <v>269</v>
      </c>
      <c r="C15" s="52" t="s">
        <v>270</v>
      </c>
      <c r="D15" s="52" t="s">
        <v>72</v>
      </c>
      <c r="E15" s="50"/>
      <c r="F15" s="56">
        <f>E15 * 4660</f>
        <v>0</v>
      </c>
      <c r="P15" s="64" t="s">
        <v>271</v>
      </c>
    </row>
    <row r="16" spans="1:16" x14ac:dyDescent="0.25">
      <c r="A16" s="95"/>
      <c r="B16" s="63" t="s">
        <v>272</v>
      </c>
      <c r="C16" s="52" t="s">
        <v>273</v>
      </c>
      <c r="D16" s="52" t="s">
        <v>72</v>
      </c>
      <c r="E16" s="50"/>
      <c r="F16" s="56">
        <f>E16 * 10200</f>
        <v>0</v>
      </c>
      <c r="P16" s="64" t="s">
        <v>274</v>
      </c>
    </row>
    <row r="17" spans="1:16" x14ac:dyDescent="0.25">
      <c r="A17" s="95"/>
      <c r="B17" s="63" t="s">
        <v>275</v>
      </c>
      <c r="C17" s="52" t="s">
        <v>276</v>
      </c>
      <c r="D17" s="52" t="s">
        <v>72</v>
      </c>
      <c r="E17" s="50"/>
      <c r="F17" s="56">
        <f>E17 * 13900</f>
        <v>0</v>
      </c>
      <c r="P17" s="64" t="s">
        <v>277</v>
      </c>
    </row>
    <row r="18" spans="1:16" x14ac:dyDescent="0.25">
      <c r="A18" s="95"/>
      <c r="B18" s="63" t="s">
        <v>278</v>
      </c>
      <c r="C18" s="52" t="s">
        <v>279</v>
      </c>
      <c r="D18" s="52" t="s">
        <v>72</v>
      </c>
      <c r="E18" s="50"/>
      <c r="F18" s="56">
        <f>E18 * 5820</f>
        <v>0</v>
      </c>
      <c r="P18" s="64" t="s">
        <v>280</v>
      </c>
    </row>
    <row r="19" spans="1:16" x14ac:dyDescent="0.25">
      <c r="A19" s="95"/>
      <c r="B19" s="63" t="s">
        <v>281</v>
      </c>
      <c r="C19" s="52" t="s">
        <v>282</v>
      </c>
      <c r="D19" s="52" t="s">
        <v>72</v>
      </c>
      <c r="E19" s="50"/>
      <c r="F19" s="56">
        <f>E19 * 8590</f>
        <v>0</v>
      </c>
      <c r="P19" s="64" t="s">
        <v>283</v>
      </c>
    </row>
    <row r="20" spans="1:16" x14ac:dyDescent="0.25">
      <c r="A20" s="95"/>
      <c r="B20" s="63" t="s">
        <v>284</v>
      </c>
      <c r="C20" s="52" t="s">
        <v>285</v>
      </c>
      <c r="D20" s="52" t="s">
        <v>72</v>
      </c>
      <c r="E20" s="50"/>
      <c r="F20" s="56">
        <f>E20 * 7670</f>
        <v>0</v>
      </c>
      <c r="P20" s="64" t="s">
        <v>286</v>
      </c>
    </row>
    <row r="21" spans="1:16" x14ac:dyDescent="0.25">
      <c r="A21" s="95"/>
      <c r="B21" s="63" t="s">
        <v>287</v>
      </c>
      <c r="C21" s="52" t="s">
        <v>288</v>
      </c>
      <c r="D21" s="52" t="s">
        <v>72</v>
      </c>
      <c r="E21" s="50"/>
      <c r="F21" s="56">
        <f>E21 * 6290</f>
        <v>0</v>
      </c>
      <c r="P21" s="64" t="s">
        <v>289</v>
      </c>
    </row>
    <row r="22" spans="1:16" x14ac:dyDescent="0.25">
      <c r="A22" s="95"/>
      <c r="B22" s="63" t="s">
        <v>290</v>
      </c>
      <c r="C22" s="52" t="s">
        <v>291</v>
      </c>
      <c r="D22" s="52" t="s">
        <v>72</v>
      </c>
      <c r="E22" s="50"/>
      <c r="F22" s="56">
        <f>E22 * 1750</f>
        <v>0</v>
      </c>
      <c r="P22" s="64" t="s">
        <v>292</v>
      </c>
    </row>
    <row r="23" spans="1:16" x14ac:dyDescent="0.25">
      <c r="A23" s="95"/>
      <c r="B23" s="63" t="s">
        <v>293</v>
      </c>
      <c r="C23" s="52" t="s">
        <v>294</v>
      </c>
      <c r="D23" s="52" t="s">
        <v>72</v>
      </c>
      <c r="E23" s="50"/>
      <c r="F23" s="56">
        <f>E23 * 1470</f>
        <v>0</v>
      </c>
      <c r="P23" s="64" t="s">
        <v>295</v>
      </c>
    </row>
    <row r="24" spans="1:16" x14ac:dyDescent="0.25">
      <c r="A24" s="95"/>
      <c r="B24" s="63" t="s">
        <v>296</v>
      </c>
      <c r="C24" s="52" t="s">
        <v>297</v>
      </c>
      <c r="D24" s="52" t="s">
        <v>72</v>
      </c>
      <c r="E24" s="50"/>
      <c r="F24" s="56">
        <f>E24 * 1730</f>
        <v>0</v>
      </c>
      <c r="P24" s="64" t="s">
        <v>298</v>
      </c>
    </row>
    <row r="25" spans="1:16" x14ac:dyDescent="0.25">
      <c r="A25" s="95"/>
      <c r="B25" s="63" t="s">
        <v>299</v>
      </c>
      <c r="C25" s="52" t="s">
        <v>300</v>
      </c>
      <c r="D25" s="52" t="s">
        <v>72</v>
      </c>
      <c r="E25" s="50"/>
      <c r="F25" s="56">
        <f>E25 * 2</f>
        <v>0</v>
      </c>
      <c r="P25" s="64" t="s">
        <v>301</v>
      </c>
    </row>
    <row r="26" spans="1:16" x14ac:dyDescent="0.25">
      <c r="A26" s="95"/>
      <c r="B26" s="63" t="s">
        <v>302</v>
      </c>
      <c r="C26" s="52" t="s">
        <v>303</v>
      </c>
      <c r="D26" s="52" t="s">
        <v>72</v>
      </c>
      <c r="E26" s="50"/>
      <c r="F26" s="56">
        <f>E26 * 160</f>
        <v>0</v>
      </c>
      <c r="P26" s="64" t="s">
        <v>304</v>
      </c>
    </row>
    <row r="27" spans="1:16" x14ac:dyDescent="0.25">
      <c r="A27" s="95"/>
      <c r="B27" s="63" t="s">
        <v>305</v>
      </c>
      <c r="C27" s="52" t="s">
        <v>306</v>
      </c>
      <c r="D27" s="52" t="s">
        <v>72</v>
      </c>
      <c r="E27" s="50"/>
      <c r="F27" s="56">
        <f>E27 * 148</f>
        <v>0</v>
      </c>
      <c r="P27" s="64" t="s">
        <v>307</v>
      </c>
    </row>
    <row r="28" spans="1:16" x14ac:dyDescent="0.25">
      <c r="A28" s="95"/>
      <c r="B28" s="63" t="s">
        <v>308</v>
      </c>
      <c r="C28" s="52" t="s">
        <v>309</v>
      </c>
      <c r="D28" s="52" t="s">
        <v>72</v>
      </c>
      <c r="E28" s="50"/>
      <c r="F28" s="56">
        <f>E28 * 1760</f>
        <v>0</v>
      </c>
      <c r="P28" s="64" t="s">
        <v>310</v>
      </c>
    </row>
    <row r="29" spans="1:16" x14ac:dyDescent="0.25">
      <c r="A29" s="95"/>
      <c r="B29" s="63" t="s">
        <v>311</v>
      </c>
      <c r="C29" s="52" t="s">
        <v>312</v>
      </c>
      <c r="D29" s="52" t="s">
        <v>72</v>
      </c>
      <c r="E29" s="50"/>
      <c r="F29" s="56">
        <f>E29 * 79</f>
        <v>0</v>
      </c>
      <c r="P29" s="64" t="s">
        <v>313</v>
      </c>
    </row>
    <row r="30" spans="1:16" x14ac:dyDescent="0.25">
      <c r="A30" s="95"/>
      <c r="B30" s="63" t="s">
        <v>314</v>
      </c>
      <c r="C30" s="52" t="s">
        <v>315</v>
      </c>
      <c r="D30" s="52" t="s">
        <v>72</v>
      </c>
      <c r="E30" s="50"/>
      <c r="F30" s="56">
        <f>E30 * 527</f>
        <v>0</v>
      </c>
      <c r="P30" s="64" t="s">
        <v>316</v>
      </c>
    </row>
    <row r="31" spans="1:16" x14ac:dyDescent="0.25">
      <c r="A31" s="95"/>
      <c r="B31" s="63" t="s">
        <v>317</v>
      </c>
      <c r="C31" s="52" t="s">
        <v>318</v>
      </c>
      <c r="D31" s="52" t="s">
        <v>72</v>
      </c>
      <c r="E31" s="50"/>
      <c r="F31" s="56">
        <f>E31 * 782</f>
        <v>0</v>
      </c>
      <c r="P31" s="64" t="s">
        <v>319</v>
      </c>
    </row>
    <row r="32" spans="1:16" x14ac:dyDescent="0.25">
      <c r="A32" s="95"/>
      <c r="B32" s="63" t="s">
        <v>320</v>
      </c>
      <c r="C32" s="52" t="s">
        <v>321</v>
      </c>
      <c r="D32" s="52" t="s">
        <v>72</v>
      </c>
      <c r="E32" s="50"/>
      <c r="F32" s="56">
        <f>E32 * 1980</f>
        <v>0</v>
      </c>
      <c r="P32" s="64" t="s">
        <v>322</v>
      </c>
    </row>
    <row r="33" spans="1:16" x14ac:dyDescent="0.25">
      <c r="A33" s="95"/>
      <c r="B33" s="63" t="s">
        <v>323</v>
      </c>
      <c r="C33" s="52" t="s">
        <v>324</v>
      </c>
      <c r="D33" s="52" t="s">
        <v>72</v>
      </c>
      <c r="E33" s="50"/>
      <c r="F33" s="56">
        <f>E33 * 127</f>
        <v>0</v>
      </c>
      <c r="P33" s="64" t="s">
        <v>325</v>
      </c>
    </row>
    <row r="34" spans="1:16" x14ac:dyDescent="0.25">
      <c r="A34" s="95"/>
      <c r="B34" s="63" t="s">
        <v>326</v>
      </c>
      <c r="C34" s="52" t="s">
        <v>327</v>
      </c>
      <c r="D34" s="52" t="s">
        <v>72</v>
      </c>
      <c r="E34" s="50"/>
      <c r="F34" s="56">
        <f>E34 * 525</f>
        <v>0</v>
      </c>
      <c r="P34" s="64" t="s">
        <v>328</v>
      </c>
    </row>
    <row r="35" spans="1:16" x14ac:dyDescent="0.25">
      <c r="A35" s="95" t="s">
        <v>329</v>
      </c>
      <c r="B35" s="63" t="s">
        <v>330</v>
      </c>
      <c r="C35" s="52" t="s">
        <v>331</v>
      </c>
      <c r="D35" s="52" t="s">
        <v>72</v>
      </c>
      <c r="E35" s="50"/>
      <c r="F35" s="56">
        <f>E35 * 12400</f>
        <v>0</v>
      </c>
      <c r="P35" s="64" t="s">
        <v>332</v>
      </c>
    </row>
    <row r="36" spans="1:16" x14ac:dyDescent="0.25">
      <c r="A36" s="95"/>
      <c r="B36" s="63" t="s">
        <v>333</v>
      </c>
      <c r="C36" s="52" t="s">
        <v>334</v>
      </c>
      <c r="D36" s="52" t="s">
        <v>72</v>
      </c>
      <c r="E36" s="50"/>
      <c r="F36" s="56">
        <f>E36 * 677</f>
        <v>0</v>
      </c>
      <c r="P36" s="64" t="s">
        <v>335</v>
      </c>
    </row>
    <row r="37" spans="1:16" x14ac:dyDescent="0.25">
      <c r="A37" s="95"/>
      <c r="B37" s="63" t="s">
        <v>336</v>
      </c>
      <c r="C37" s="52" t="s">
        <v>337</v>
      </c>
      <c r="D37" s="52" t="s">
        <v>72</v>
      </c>
      <c r="E37" s="50"/>
      <c r="F37" s="56">
        <f>E37 * 116</f>
        <v>0</v>
      </c>
      <c r="P37" s="64" t="s">
        <v>338</v>
      </c>
    </row>
    <row r="38" spans="1:16" x14ac:dyDescent="0.25">
      <c r="A38" s="95"/>
      <c r="B38" s="63" t="s">
        <v>339</v>
      </c>
      <c r="C38" s="52" t="s">
        <v>340</v>
      </c>
      <c r="D38" s="52" t="s">
        <v>72</v>
      </c>
      <c r="E38" s="50"/>
      <c r="F38" s="56">
        <f>E38 * 3170</f>
        <v>0</v>
      </c>
      <c r="P38" s="64" t="s">
        <v>341</v>
      </c>
    </row>
    <row r="39" spans="1:16" x14ac:dyDescent="0.25">
      <c r="A39" s="95"/>
      <c r="B39" s="63" t="s">
        <v>342</v>
      </c>
      <c r="C39" s="52" t="s">
        <v>343</v>
      </c>
      <c r="D39" s="52" t="s">
        <v>72</v>
      </c>
      <c r="E39" s="50"/>
      <c r="F39" s="56">
        <f>E39 * 1120</f>
        <v>0</v>
      </c>
      <c r="P39" s="64" t="s">
        <v>344</v>
      </c>
    </row>
    <row r="40" spans="1:16" x14ac:dyDescent="0.25">
      <c r="A40" s="95"/>
      <c r="B40" s="63" t="s">
        <v>345</v>
      </c>
      <c r="C40" s="52" t="s">
        <v>346</v>
      </c>
      <c r="D40" s="52" t="s">
        <v>72</v>
      </c>
      <c r="E40" s="50"/>
      <c r="F40" s="56">
        <f>E40 * 1300</f>
        <v>0</v>
      </c>
      <c r="P40" s="64" t="s">
        <v>347</v>
      </c>
    </row>
    <row r="41" spans="1:16" x14ac:dyDescent="0.25">
      <c r="A41" s="95"/>
      <c r="B41" s="63" t="s">
        <v>348</v>
      </c>
      <c r="C41" s="52" t="s">
        <v>349</v>
      </c>
      <c r="D41" s="52" t="s">
        <v>72</v>
      </c>
      <c r="E41" s="50"/>
      <c r="F41" s="56">
        <f>E41 * 328</f>
        <v>0</v>
      </c>
      <c r="P41" s="64" t="s">
        <v>350</v>
      </c>
    </row>
    <row r="42" spans="1:16" x14ac:dyDescent="0.25">
      <c r="A42" s="95"/>
      <c r="B42" s="63" t="s">
        <v>351</v>
      </c>
      <c r="C42" s="52" t="s">
        <v>352</v>
      </c>
      <c r="D42" s="52" t="s">
        <v>72</v>
      </c>
      <c r="E42" s="50"/>
      <c r="F42" s="56">
        <f>E42 * 4800</f>
        <v>0</v>
      </c>
      <c r="P42" s="64" t="s">
        <v>353</v>
      </c>
    </row>
    <row r="43" spans="1:16" x14ac:dyDescent="0.25">
      <c r="A43" s="95"/>
      <c r="B43" s="63" t="s">
        <v>354</v>
      </c>
      <c r="C43" s="52" t="s">
        <v>355</v>
      </c>
      <c r="D43" s="52" t="s">
        <v>72</v>
      </c>
      <c r="E43" s="50"/>
      <c r="F43" s="56">
        <f>E43 * 16</f>
        <v>0</v>
      </c>
      <c r="P43" s="64" t="s">
        <v>356</v>
      </c>
    </row>
    <row r="44" spans="1:16" x14ac:dyDescent="0.25">
      <c r="A44" s="95"/>
      <c r="B44" s="63" t="s">
        <v>357</v>
      </c>
      <c r="C44" s="52" t="s">
        <v>358</v>
      </c>
      <c r="D44" s="52" t="s">
        <v>72</v>
      </c>
      <c r="E44" s="50"/>
      <c r="F44" s="56">
        <f>E44 * 138</f>
        <v>0</v>
      </c>
      <c r="P44" s="64" t="s">
        <v>359</v>
      </c>
    </row>
    <row r="45" spans="1:16" x14ac:dyDescent="0.25">
      <c r="A45" s="95"/>
      <c r="B45" s="63" t="s">
        <v>360</v>
      </c>
      <c r="C45" s="52" t="s">
        <v>361</v>
      </c>
      <c r="D45" s="52" t="s">
        <v>72</v>
      </c>
      <c r="E45" s="50"/>
      <c r="F45" s="56">
        <f>E45 * 4</f>
        <v>0</v>
      </c>
      <c r="P45" s="64" t="s">
        <v>362</v>
      </c>
    </row>
    <row r="46" spans="1:16" x14ac:dyDescent="0.25">
      <c r="A46" s="95"/>
      <c r="B46" s="63" t="s">
        <v>363</v>
      </c>
      <c r="C46" s="52" t="s">
        <v>364</v>
      </c>
      <c r="D46" s="52" t="s">
        <v>72</v>
      </c>
      <c r="E46" s="50"/>
      <c r="F46" s="56">
        <f>E46 * 3350</f>
        <v>0</v>
      </c>
      <c r="P46" s="64" t="s">
        <v>365</v>
      </c>
    </row>
    <row r="47" spans="1:16" x14ac:dyDescent="0.25">
      <c r="A47" s="95"/>
      <c r="B47" s="63" t="s">
        <v>366</v>
      </c>
      <c r="C47" s="52" t="s">
        <v>367</v>
      </c>
      <c r="D47" s="52" t="s">
        <v>72</v>
      </c>
      <c r="E47" s="50"/>
      <c r="F47" s="56">
        <f>E47 * 1210</f>
        <v>0</v>
      </c>
      <c r="P47" s="64" t="s">
        <v>368</v>
      </c>
    </row>
    <row r="48" spans="1:16" x14ac:dyDescent="0.25">
      <c r="A48" s="95"/>
      <c r="B48" s="63" t="s">
        <v>369</v>
      </c>
      <c r="C48" s="52" t="s">
        <v>370</v>
      </c>
      <c r="D48" s="52" t="s">
        <v>72</v>
      </c>
      <c r="E48" s="50"/>
      <c r="F48" s="56">
        <f>E48 * 1330</f>
        <v>0</v>
      </c>
      <c r="P48" s="64" t="s">
        <v>371</v>
      </c>
    </row>
    <row r="49" spans="1:16" x14ac:dyDescent="0.25">
      <c r="A49" s="95"/>
      <c r="B49" s="63" t="s">
        <v>372</v>
      </c>
      <c r="C49" s="52" t="s">
        <v>373</v>
      </c>
      <c r="D49" s="52" t="s">
        <v>72</v>
      </c>
      <c r="E49" s="50"/>
      <c r="F49" s="56">
        <f>E49 * 8060</f>
        <v>0</v>
      </c>
      <c r="P49" s="64" t="s">
        <v>374</v>
      </c>
    </row>
    <row r="50" spans="1:16" x14ac:dyDescent="0.25">
      <c r="A50" s="95"/>
      <c r="B50" s="63" t="s">
        <v>375</v>
      </c>
      <c r="C50" s="52" t="s">
        <v>376</v>
      </c>
      <c r="D50" s="52" t="s">
        <v>72</v>
      </c>
      <c r="E50" s="50"/>
      <c r="F50" s="56">
        <f>E50 * 716</f>
        <v>0</v>
      </c>
      <c r="P50" s="64" t="s">
        <v>377</v>
      </c>
    </row>
    <row r="51" spans="1:16" x14ac:dyDescent="0.25">
      <c r="A51" s="95"/>
      <c r="B51" s="63" t="s">
        <v>378</v>
      </c>
      <c r="C51" s="52" t="s">
        <v>379</v>
      </c>
      <c r="D51" s="52" t="s">
        <v>72</v>
      </c>
      <c r="E51" s="50"/>
      <c r="F51" s="56">
        <f>E51 * 858</f>
        <v>0</v>
      </c>
      <c r="P51" s="64" t="s">
        <v>380</v>
      </c>
    </row>
    <row r="52" spans="1:16" x14ac:dyDescent="0.25">
      <c r="A52" s="95"/>
      <c r="B52" s="63" t="s">
        <v>381</v>
      </c>
      <c r="C52" s="52" t="s">
        <v>382</v>
      </c>
      <c r="D52" s="52" t="s">
        <v>72</v>
      </c>
      <c r="E52" s="50"/>
      <c r="F52" s="56">
        <f>E52 * 804</f>
        <v>0</v>
      </c>
      <c r="P52" s="64" t="s">
        <v>383</v>
      </c>
    </row>
    <row r="53" spans="1:16" x14ac:dyDescent="0.25">
      <c r="A53" s="95"/>
      <c r="B53" s="63" t="s">
        <v>384</v>
      </c>
      <c r="C53" s="52" t="s">
        <v>385</v>
      </c>
      <c r="D53" s="52" t="s">
        <v>72</v>
      </c>
      <c r="E53" s="50"/>
      <c r="F53" s="56">
        <f>E53 * 1650</f>
        <v>0</v>
      </c>
      <c r="P53" s="64" t="s">
        <v>386</v>
      </c>
    </row>
    <row r="54" spans="1:16" x14ac:dyDescent="0.25">
      <c r="A54" s="95" t="s">
        <v>387</v>
      </c>
      <c r="B54" s="63" t="s">
        <v>388</v>
      </c>
      <c r="C54" s="52" t="s">
        <v>389</v>
      </c>
      <c r="D54" s="52" t="s">
        <v>72</v>
      </c>
      <c r="E54" s="50"/>
      <c r="F54" s="56">
        <f>E54 * 23500</f>
        <v>0</v>
      </c>
      <c r="P54" s="64" t="s">
        <v>390</v>
      </c>
    </row>
    <row r="55" spans="1:16" x14ac:dyDescent="0.25">
      <c r="A55" s="95"/>
      <c r="B55" s="63" t="s">
        <v>391</v>
      </c>
      <c r="C55" s="52" t="s">
        <v>392</v>
      </c>
      <c r="D55" s="52" t="s">
        <v>72</v>
      </c>
      <c r="E55" s="50"/>
      <c r="F55" s="56">
        <f>E55 * 16100</f>
        <v>0</v>
      </c>
      <c r="P55" s="64" t="s">
        <v>393</v>
      </c>
    </row>
    <row r="56" spans="1:16" x14ac:dyDescent="0.25">
      <c r="A56" s="95"/>
      <c r="B56" s="63" t="s">
        <v>394</v>
      </c>
      <c r="C56" s="52" t="s">
        <v>395</v>
      </c>
      <c r="D56" s="52" t="s">
        <v>72</v>
      </c>
      <c r="E56" s="50"/>
      <c r="F56" s="56">
        <f>E56 * 6630</f>
        <v>0</v>
      </c>
      <c r="P56" s="64" t="s">
        <v>396</v>
      </c>
    </row>
    <row r="57" spans="1:16" x14ac:dyDescent="0.25">
      <c r="A57" s="95"/>
      <c r="B57" s="63" t="s">
        <v>397</v>
      </c>
      <c r="C57" s="52" t="s">
        <v>398</v>
      </c>
      <c r="D57" s="52" t="s">
        <v>72</v>
      </c>
      <c r="E57" s="50"/>
      <c r="F57" s="56">
        <f>E57 * 11100</f>
        <v>0</v>
      </c>
      <c r="P57" s="64" t="s">
        <v>399</v>
      </c>
    </row>
    <row r="58" spans="1:16" x14ac:dyDescent="0.25">
      <c r="A58" s="95"/>
      <c r="B58" s="63" t="s">
        <v>400</v>
      </c>
      <c r="C58" s="52" t="s">
        <v>401</v>
      </c>
      <c r="D58" s="52" t="s">
        <v>72</v>
      </c>
      <c r="E58" s="50"/>
      <c r="F58" s="56">
        <f>E58 * 8900</f>
        <v>0</v>
      </c>
      <c r="P58" s="64" t="s">
        <v>402</v>
      </c>
    </row>
    <row r="59" spans="1:16" x14ac:dyDescent="0.25">
      <c r="A59" s="95"/>
      <c r="B59" s="63" t="s">
        <v>403</v>
      </c>
      <c r="C59" s="52" t="s">
        <v>404</v>
      </c>
      <c r="D59" s="52" t="s">
        <v>72</v>
      </c>
      <c r="E59" s="50"/>
      <c r="F59" s="56">
        <f>E59 * 9540</f>
        <v>0</v>
      </c>
      <c r="P59" s="64" t="s">
        <v>405</v>
      </c>
    </row>
    <row r="60" spans="1:16" x14ac:dyDescent="0.25">
      <c r="A60" s="95"/>
      <c r="B60" s="63" t="s">
        <v>406</v>
      </c>
      <c r="C60" s="52" t="s">
        <v>407</v>
      </c>
      <c r="D60" s="52" t="s">
        <v>72</v>
      </c>
      <c r="E60" s="50"/>
      <c r="F60" s="56">
        <f>E60 * 9200</f>
        <v>0</v>
      </c>
      <c r="P60" s="64" t="s">
        <v>408</v>
      </c>
    </row>
    <row r="61" spans="1:16" x14ac:dyDescent="0.25">
      <c r="A61" s="95"/>
      <c r="B61" s="63" t="s">
        <v>409</v>
      </c>
      <c r="C61" s="52" t="s">
        <v>410</v>
      </c>
      <c r="D61" s="52" t="s">
        <v>72</v>
      </c>
      <c r="E61" s="50"/>
      <c r="F61" s="56">
        <f>E61 * 8550</f>
        <v>0</v>
      </c>
      <c r="P61" s="64" t="s">
        <v>411</v>
      </c>
    </row>
    <row r="62" spans="1:16" x14ac:dyDescent="0.25">
      <c r="A62" s="95"/>
      <c r="B62" s="63" t="s">
        <v>412</v>
      </c>
      <c r="C62" s="52" t="s">
        <v>413</v>
      </c>
      <c r="D62" s="52" t="s">
        <v>72</v>
      </c>
      <c r="E62" s="50"/>
      <c r="F62" s="56">
        <f>E62 * 7910</f>
        <v>0</v>
      </c>
      <c r="P62" s="64" t="s">
        <v>414</v>
      </c>
    </row>
    <row r="63" spans="1:16" x14ac:dyDescent="0.25">
      <c r="A63" s="95"/>
      <c r="B63" s="63" t="s">
        <v>415</v>
      </c>
      <c r="C63" s="52" t="s">
        <v>416</v>
      </c>
      <c r="D63" s="52" t="s">
        <v>72</v>
      </c>
      <c r="E63" s="50"/>
      <c r="F63" s="56">
        <f>E63 * 7190</f>
        <v>0</v>
      </c>
      <c r="P63" s="64" t="s">
        <v>417</v>
      </c>
    </row>
    <row r="64" spans="1:16" x14ac:dyDescent="0.25">
      <c r="A64" s="95"/>
      <c r="B64" s="63" t="s">
        <v>418</v>
      </c>
      <c r="C64" s="52" t="s">
        <v>419</v>
      </c>
      <c r="D64" s="52" t="s">
        <v>72</v>
      </c>
      <c r="E64" s="50"/>
      <c r="F64" s="56">
        <f>E64 * 17400</f>
        <v>0</v>
      </c>
      <c r="P64" s="64" t="s">
        <v>420</v>
      </c>
    </row>
    <row r="65" spans="1:16" x14ac:dyDescent="0.25">
      <c r="A65" s="95"/>
      <c r="B65" s="63" t="s">
        <v>421</v>
      </c>
      <c r="C65" s="52" t="s">
        <v>422</v>
      </c>
      <c r="D65" s="52" t="s">
        <v>72</v>
      </c>
      <c r="E65" s="50"/>
      <c r="F65" s="56">
        <f>E65 * 9200</f>
        <v>0</v>
      </c>
      <c r="P65" s="64" t="s">
        <v>423</v>
      </c>
    </row>
    <row r="66" spans="1:16" x14ac:dyDescent="0.25">
      <c r="A66" s="95" t="s">
        <v>424</v>
      </c>
      <c r="B66" s="63" t="s">
        <v>425</v>
      </c>
      <c r="C66" s="52" t="s">
        <v>426</v>
      </c>
      <c r="D66" s="52" t="s">
        <v>72</v>
      </c>
      <c r="E66" s="50"/>
      <c r="F66" s="56">
        <f>E66 * 12400</f>
        <v>0</v>
      </c>
      <c r="P66" s="64" t="s">
        <v>427</v>
      </c>
    </row>
    <row r="67" spans="1:16" x14ac:dyDescent="0.25">
      <c r="A67" s="95"/>
      <c r="B67" s="63" t="s">
        <v>428</v>
      </c>
      <c r="C67" s="52" t="s">
        <v>429</v>
      </c>
      <c r="D67" s="52" t="s">
        <v>72</v>
      </c>
      <c r="E67" s="50"/>
      <c r="F67" s="56">
        <f>E67 * 5560</f>
        <v>0</v>
      </c>
      <c r="P67" s="64" t="s">
        <v>430</v>
      </c>
    </row>
    <row r="68" spans="1:16" x14ac:dyDescent="0.25">
      <c r="A68" s="95"/>
      <c r="B68" s="63" t="s">
        <v>431</v>
      </c>
      <c r="C68" s="52" t="s">
        <v>432</v>
      </c>
      <c r="D68" s="52" t="s">
        <v>72</v>
      </c>
      <c r="E68" s="50"/>
      <c r="F68" s="56">
        <f>E68 * 523</f>
        <v>0</v>
      </c>
      <c r="P68" s="64" t="s">
        <v>433</v>
      </c>
    </row>
    <row r="69" spans="1:16" x14ac:dyDescent="0.25">
      <c r="A69" s="95"/>
      <c r="B69" s="63" t="s">
        <v>434</v>
      </c>
      <c r="C69" s="52" t="s">
        <v>435</v>
      </c>
      <c r="D69" s="52" t="s">
        <v>72</v>
      </c>
      <c r="E69" s="50"/>
      <c r="F69" s="56">
        <f>E69 * 6450</f>
        <v>0</v>
      </c>
      <c r="P69" s="64" t="s">
        <v>436</v>
      </c>
    </row>
    <row r="70" spans="1:16" x14ac:dyDescent="0.25">
      <c r="A70" s="95"/>
      <c r="B70" s="63" t="s">
        <v>437</v>
      </c>
      <c r="C70" s="52" t="s">
        <v>438</v>
      </c>
      <c r="D70" s="52" t="s">
        <v>72</v>
      </c>
      <c r="E70" s="50"/>
      <c r="F70" s="56">
        <f>E70 * 491</f>
        <v>0</v>
      </c>
      <c r="P70" s="64" t="s">
        <v>439</v>
      </c>
    </row>
    <row r="71" spans="1:16" x14ac:dyDescent="0.25">
      <c r="A71" s="95"/>
      <c r="B71" s="63" t="s">
        <v>440</v>
      </c>
      <c r="C71" s="52" t="s">
        <v>441</v>
      </c>
      <c r="D71" s="52" t="s">
        <v>72</v>
      </c>
      <c r="E71" s="50"/>
      <c r="F71" s="56">
        <f>E71 * 1790</f>
        <v>0</v>
      </c>
      <c r="P71" s="64" t="s">
        <v>442</v>
      </c>
    </row>
    <row r="72" spans="1:16" x14ac:dyDescent="0.25">
      <c r="A72" s="95"/>
      <c r="B72" s="63" t="s">
        <v>443</v>
      </c>
      <c r="C72" s="52" t="s">
        <v>444</v>
      </c>
      <c r="D72" s="52" t="s">
        <v>72</v>
      </c>
      <c r="E72" s="50"/>
      <c r="F72" s="56">
        <f>E72 * 979</f>
        <v>0</v>
      </c>
      <c r="P72" s="64" t="s">
        <v>445</v>
      </c>
    </row>
    <row r="73" spans="1:16" x14ac:dyDescent="0.25">
      <c r="A73" s="95"/>
      <c r="B73" s="63" t="s">
        <v>446</v>
      </c>
      <c r="C73" s="52" t="s">
        <v>447</v>
      </c>
      <c r="D73" s="52" t="s">
        <v>72</v>
      </c>
      <c r="E73" s="50"/>
      <c r="F73" s="56">
        <f>E73 * 654</f>
        <v>0</v>
      </c>
      <c r="P73" s="64" t="s">
        <v>448</v>
      </c>
    </row>
    <row r="74" spans="1:16" x14ac:dyDescent="0.25">
      <c r="A74" s="95"/>
      <c r="B74" s="63" t="s">
        <v>449</v>
      </c>
      <c r="C74" s="52" t="s">
        <v>450</v>
      </c>
      <c r="D74" s="52" t="s">
        <v>72</v>
      </c>
      <c r="E74" s="50"/>
      <c r="F74" s="56">
        <f>E74 * 828</f>
        <v>0</v>
      </c>
      <c r="P74" s="64" t="s">
        <v>451</v>
      </c>
    </row>
    <row r="75" spans="1:16" x14ac:dyDescent="0.25">
      <c r="A75" s="95"/>
      <c r="B75" s="63" t="s">
        <v>452</v>
      </c>
      <c r="C75" s="52" t="s">
        <v>453</v>
      </c>
      <c r="D75" s="52" t="s">
        <v>72</v>
      </c>
      <c r="E75" s="50"/>
      <c r="F75" s="56">
        <f>E75 * 812</f>
        <v>0</v>
      </c>
      <c r="P75" s="64" t="s">
        <v>454</v>
      </c>
    </row>
    <row r="76" spans="1:16" x14ac:dyDescent="0.25">
      <c r="A76" s="95"/>
      <c r="B76" s="63" t="s">
        <v>455</v>
      </c>
      <c r="C76" s="52" t="s">
        <v>456</v>
      </c>
      <c r="D76" s="52" t="s">
        <v>72</v>
      </c>
      <c r="E76" s="50"/>
      <c r="F76" s="56">
        <f>E76 * 301</f>
        <v>0</v>
      </c>
      <c r="P76" s="64" t="s">
        <v>457</v>
      </c>
    </row>
    <row r="77" spans="1:16" x14ac:dyDescent="0.25">
      <c r="A77" s="95"/>
      <c r="B77" s="63" t="s">
        <v>458</v>
      </c>
      <c r="C77" s="52" t="s">
        <v>459</v>
      </c>
      <c r="D77" s="52" t="s">
        <v>72</v>
      </c>
      <c r="E77" s="50"/>
      <c r="F77" s="56">
        <f>E77 * 1</f>
        <v>0</v>
      </c>
      <c r="P77" s="64" t="s">
        <v>460</v>
      </c>
    </row>
    <row r="78" spans="1:16" x14ac:dyDescent="0.25">
      <c r="A78" s="95"/>
      <c r="B78" s="63" t="s">
        <v>461</v>
      </c>
      <c r="C78" s="52" t="s">
        <v>462</v>
      </c>
      <c r="D78" s="52" t="s">
        <v>72</v>
      </c>
      <c r="E78" s="50"/>
      <c r="F78" s="56">
        <f>E78 * 3070</f>
        <v>0</v>
      </c>
      <c r="P78" s="64" t="s">
        <v>463</v>
      </c>
    </row>
    <row r="79" spans="1:16" x14ac:dyDescent="0.25">
      <c r="A79" s="95"/>
      <c r="B79" s="63" t="s">
        <v>464</v>
      </c>
      <c r="C79" s="52" t="s">
        <v>465</v>
      </c>
      <c r="D79" s="52" t="s">
        <v>72</v>
      </c>
      <c r="E79" s="50"/>
      <c r="F79" s="56">
        <f>E79 * 929</f>
        <v>0</v>
      </c>
      <c r="P79" s="64" t="s">
        <v>466</v>
      </c>
    </row>
    <row r="80" spans="1:16" x14ac:dyDescent="0.25">
      <c r="A80" s="95"/>
      <c r="B80" s="63" t="s">
        <v>467</v>
      </c>
      <c r="C80" s="52" t="s">
        <v>468</v>
      </c>
      <c r="D80" s="52" t="s">
        <v>72</v>
      </c>
      <c r="E80" s="50"/>
      <c r="F80" s="56">
        <f>E80 * 530</f>
        <v>0</v>
      </c>
      <c r="P80" s="64" t="s">
        <v>469</v>
      </c>
    </row>
    <row r="81" spans="1:16" x14ac:dyDescent="0.25">
      <c r="A81" s="95"/>
      <c r="B81" s="63" t="s">
        <v>470</v>
      </c>
      <c r="C81" s="52" t="s">
        <v>471</v>
      </c>
      <c r="D81" s="52" t="s">
        <v>72</v>
      </c>
      <c r="E81" s="50"/>
      <c r="F81" s="56">
        <f>E81 * 854</f>
        <v>0</v>
      </c>
      <c r="P81" s="64" t="s">
        <v>472</v>
      </c>
    </row>
    <row r="82" spans="1:16" x14ac:dyDescent="0.25">
      <c r="A82" s="95"/>
      <c r="B82" s="63" t="s">
        <v>473</v>
      </c>
      <c r="C82" s="52" t="s">
        <v>474</v>
      </c>
      <c r="D82" s="52" t="s">
        <v>72</v>
      </c>
      <c r="E82" s="50"/>
      <c r="F82" s="56">
        <f>E82 * 889</f>
        <v>0</v>
      </c>
      <c r="P82" s="64" t="s">
        <v>475</v>
      </c>
    </row>
    <row r="83" spans="1:16" x14ac:dyDescent="0.25">
      <c r="A83" s="95"/>
      <c r="B83" s="63" t="s">
        <v>476</v>
      </c>
      <c r="C83" s="52" t="s">
        <v>477</v>
      </c>
      <c r="D83" s="52" t="s">
        <v>72</v>
      </c>
      <c r="E83" s="50"/>
      <c r="F83" s="56">
        <f>E83 * 387</f>
        <v>0</v>
      </c>
      <c r="P83" s="64" t="s">
        <v>478</v>
      </c>
    </row>
    <row r="84" spans="1:16" x14ac:dyDescent="0.25">
      <c r="A84" s="95"/>
      <c r="B84" s="63" t="s">
        <v>479</v>
      </c>
      <c r="C84" s="52" t="s">
        <v>480</v>
      </c>
      <c r="D84" s="52" t="s">
        <v>72</v>
      </c>
      <c r="E84" s="50"/>
      <c r="F84" s="56">
        <f>E84 * 413</f>
        <v>0</v>
      </c>
      <c r="P84" s="64" t="s">
        <v>481</v>
      </c>
    </row>
    <row r="85" spans="1:16" x14ac:dyDescent="0.25">
      <c r="A85" s="95"/>
      <c r="B85" s="63" t="s">
        <v>482</v>
      </c>
      <c r="C85" s="52" t="s">
        <v>483</v>
      </c>
      <c r="D85" s="52" t="s">
        <v>72</v>
      </c>
      <c r="E85" s="50"/>
      <c r="F85" s="56">
        <f>E85 * 719</f>
        <v>0</v>
      </c>
      <c r="P85" s="64" t="s">
        <v>484</v>
      </c>
    </row>
    <row r="86" spans="1:16" x14ac:dyDescent="0.25">
      <c r="A86" s="95"/>
      <c r="B86" s="63" t="s">
        <v>485</v>
      </c>
      <c r="C86" s="52" t="s">
        <v>486</v>
      </c>
      <c r="D86" s="52" t="s">
        <v>72</v>
      </c>
      <c r="E86" s="50"/>
      <c r="F86" s="56">
        <f>E86 * 446</f>
        <v>0</v>
      </c>
      <c r="P86" s="64" t="s">
        <v>487</v>
      </c>
    </row>
    <row r="87" spans="1:16" x14ac:dyDescent="0.25">
      <c r="A87" s="95"/>
      <c r="B87" s="63" t="s">
        <v>488</v>
      </c>
      <c r="C87" s="52" t="s">
        <v>489</v>
      </c>
      <c r="D87" s="52" t="s">
        <v>72</v>
      </c>
      <c r="E87" s="50"/>
      <c r="F87" s="56">
        <f>E87 * 1</f>
        <v>0</v>
      </c>
      <c r="P87" s="64" t="s">
        <v>490</v>
      </c>
    </row>
    <row r="88" spans="1:16" x14ac:dyDescent="0.25">
      <c r="A88" s="95"/>
      <c r="B88" s="63" t="s">
        <v>491</v>
      </c>
      <c r="C88" s="52" t="s">
        <v>492</v>
      </c>
      <c r="D88" s="52" t="s">
        <v>72</v>
      </c>
      <c r="E88" s="50"/>
      <c r="F88" s="56">
        <f>E88 * 627</f>
        <v>0</v>
      </c>
      <c r="P88" s="64" t="s">
        <v>493</v>
      </c>
    </row>
    <row r="89" spans="1:16" x14ac:dyDescent="0.25">
      <c r="A89" s="95"/>
      <c r="B89" s="63" t="s">
        <v>494</v>
      </c>
      <c r="C89" s="52" t="s">
        <v>495</v>
      </c>
      <c r="D89" s="52" t="s">
        <v>72</v>
      </c>
      <c r="E89" s="50"/>
      <c r="F89" s="56">
        <f>E89 * 421</f>
        <v>0</v>
      </c>
      <c r="P89" s="64" t="s">
        <v>496</v>
      </c>
    </row>
    <row r="90" spans="1:16" x14ac:dyDescent="0.25">
      <c r="A90" s="95"/>
      <c r="B90" s="63" t="s">
        <v>497</v>
      </c>
      <c r="C90" s="52" t="s">
        <v>498</v>
      </c>
      <c r="D90" s="52" t="s">
        <v>72</v>
      </c>
      <c r="E90" s="50"/>
      <c r="F90" s="56">
        <f>E90 * 57</f>
        <v>0</v>
      </c>
      <c r="P90" s="64" t="s">
        <v>499</v>
      </c>
    </row>
    <row r="91" spans="1:16" x14ac:dyDescent="0.25">
      <c r="A91" s="95"/>
      <c r="B91" s="63" t="s">
        <v>500</v>
      </c>
      <c r="C91" s="52" t="s">
        <v>501</v>
      </c>
      <c r="D91" s="52" t="s">
        <v>72</v>
      </c>
      <c r="E91" s="50"/>
      <c r="F91" s="56">
        <f>E91 * 2820</f>
        <v>0</v>
      </c>
      <c r="P91" s="64" t="s">
        <v>502</v>
      </c>
    </row>
    <row r="92" spans="1:16" x14ac:dyDescent="0.25">
      <c r="A92" s="95"/>
      <c r="B92" s="63" t="s">
        <v>503</v>
      </c>
      <c r="C92" s="52" t="s">
        <v>504</v>
      </c>
      <c r="D92" s="52" t="s">
        <v>72</v>
      </c>
      <c r="E92" s="50"/>
      <c r="F92" s="56">
        <f>E92 * 5350</f>
        <v>0</v>
      </c>
      <c r="P92" s="64" t="s">
        <v>505</v>
      </c>
    </row>
    <row r="93" spans="1:16" x14ac:dyDescent="0.25">
      <c r="A93" s="95"/>
      <c r="B93" s="63" t="s">
        <v>506</v>
      </c>
      <c r="C93" s="52" t="s">
        <v>507</v>
      </c>
      <c r="D93" s="52" t="s">
        <v>72</v>
      </c>
      <c r="E93" s="50"/>
      <c r="F93" s="56">
        <f>E93 * 2910</f>
        <v>0</v>
      </c>
      <c r="P93" s="64" t="s">
        <v>508</v>
      </c>
    </row>
    <row r="94" spans="1:16" x14ac:dyDescent="0.25">
      <c r="A94" s="95" t="s">
        <v>509</v>
      </c>
      <c r="B94" s="63" t="s">
        <v>510</v>
      </c>
      <c r="C94" s="52" t="s">
        <v>511</v>
      </c>
      <c r="D94" s="52" t="s">
        <v>72</v>
      </c>
      <c r="E94" s="50"/>
      <c r="F94" s="56">
        <f>E94 * 9710</f>
        <v>0</v>
      </c>
      <c r="P94" s="64" t="s">
        <v>512</v>
      </c>
    </row>
    <row r="95" spans="1:16" x14ac:dyDescent="0.25">
      <c r="A95" s="95" t="s">
        <v>513</v>
      </c>
      <c r="B95" s="63" t="s">
        <v>514</v>
      </c>
      <c r="C95" s="52" t="s">
        <v>515</v>
      </c>
      <c r="D95" s="52" t="s">
        <v>72</v>
      </c>
      <c r="E95" s="50"/>
      <c r="F95" s="56">
        <f>E95 * 16</f>
        <v>0</v>
      </c>
      <c r="P95" s="64" t="s">
        <v>516</v>
      </c>
    </row>
    <row r="96" spans="1:16" x14ac:dyDescent="0.25">
      <c r="A96" s="95"/>
      <c r="B96" s="63" t="s">
        <v>517</v>
      </c>
      <c r="C96" s="52" t="s">
        <v>518</v>
      </c>
      <c r="D96" s="52" t="s">
        <v>72</v>
      </c>
      <c r="E96" s="50"/>
      <c r="F96" s="56">
        <f>E96 * 1</f>
        <v>0</v>
      </c>
      <c r="P96" s="64" t="s">
        <v>519</v>
      </c>
    </row>
    <row r="97" spans="1:16" x14ac:dyDescent="0.25">
      <c r="A97" s="95"/>
      <c r="B97" s="63" t="s">
        <v>520</v>
      </c>
      <c r="C97" s="52" t="s">
        <v>521</v>
      </c>
      <c r="D97" s="52" t="s">
        <v>72</v>
      </c>
      <c r="E97" s="50"/>
      <c r="F97" s="56">
        <f>E97 * 9</f>
        <v>0</v>
      </c>
      <c r="P97" s="64" t="s">
        <v>522</v>
      </c>
    </row>
    <row r="98" spans="1:16" x14ac:dyDescent="0.25">
      <c r="A98" s="95"/>
      <c r="B98" s="63" t="s">
        <v>523</v>
      </c>
      <c r="C98" s="52" t="s">
        <v>524</v>
      </c>
      <c r="D98" s="52" t="s">
        <v>72</v>
      </c>
      <c r="E98" s="50"/>
      <c r="F98" s="56">
        <f>E98 * 376</f>
        <v>0</v>
      </c>
      <c r="P98" s="64" t="s">
        <v>525</v>
      </c>
    </row>
    <row r="99" spans="1:16" x14ac:dyDescent="0.25">
      <c r="A99" s="95"/>
      <c r="B99" s="63" t="s">
        <v>526</v>
      </c>
      <c r="C99" s="52" t="s">
        <v>527</v>
      </c>
      <c r="D99" s="52" t="s">
        <v>72</v>
      </c>
      <c r="E99" s="50"/>
      <c r="F99" s="56">
        <f>E99 * 12</f>
        <v>0</v>
      </c>
      <c r="P99" s="64" t="s">
        <v>528</v>
      </c>
    </row>
    <row r="100" spans="1:16" x14ac:dyDescent="0.25">
      <c r="A100" s="95" t="s">
        <v>529</v>
      </c>
      <c r="B100" s="63" t="s">
        <v>530</v>
      </c>
      <c r="C100" s="52" t="s">
        <v>531</v>
      </c>
      <c r="D100" s="52" t="s">
        <v>61</v>
      </c>
      <c r="E100" s="77"/>
      <c r="F100" s="78"/>
      <c r="P100" s="64"/>
    </row>
    <row r="101" spans="1:16" x14ac:dyDescent="0.25">
      <c r="A101" s="95"/>
      <c r="B101" s="63" t="s">
        <v>532</v>
      </c>
      <c r="C101" s="52" t="s">
        <v>533</v>
      </c>
      <c r="D101" s="52" t="s">
        <v>72</v>
      </c>
      <c r="E101" s="50"/>
      <c r="F101" s="56">
        <f>E101 * 4456.75</f>
        <v>0</v>
      </c>
      <c r="P101" s="64" t="s">
        <v>534</v>
      </c>
    </row>
    <row r="102" spans="1:16" x14ac:dyDescent="0.25">
      <c r="A102" s="95"/>
      <c r="B102" s="63" t="s">
        <v>535</v>
      </c>
      <c r="C102" s="52" t="s">
        <v>536</v>
      </c>
      <c r="D102" s="52" t="s">
        <v>72</v>
      </c>
      <c r="E102" s="50"/>
      <c r="F102" s="56">
        <f>E102 * 3942.8</f>
        <v>0</v>
      </c>
      <c r="P102" s="64" t="s">
        <v>537</v>
      </c>
    </row>
    <row r="103" spans="1:16" x14ac:dyDescent="0.25">
      <c r="A103" s="95"/>
      <c r="B103" s="63" t="s">
        <v>538</v>
      </c>
      <c r="C103" s="52" t="s">
        <v>539</v>
      </c>
      <c r="D103" s="52" t="s">
        <v>72</v>
      </c>
      <c r="E103" s="50"/>
      <c r="F103" s="56">
        <f>E103 * 1779.92</f>
        <v>0</v>
      </c>
      <c r="P103" s="64" t="s">
        <v>540</v>
      </c>
    </row>
    <row r="104" spans="1:16" x14ac:dyDescent="0.25">
      <c r="A104" s="95"/>
      <c r="B104" s="63" t="s">
        <v>541</v>
      </c>
      <c r="C104" s="52" t="s">
        <v>542</v>
      </c>
      <c r="D104" s="52" t="s">
        <v>72</v>
      </c>
      <c r="E104" s="50"/>
      <c r="F104" s="56">
        <f>E104 * 1624.21</f>
        <v>0</v>
      </c>
      <c r="P104" s="64" t="s">
        <v>543</v>
      </c>
    </row>
    <row r="105" spans="1:16" x14ac:dyDescent="0.25">
      <c r="A105" s="95"/>
      <c r="B105" s="63" t="s">
        <v>544</v>
      </c>
      <c r="C105" s="52" t="s">
        <v>545</v>
      </c>
      <c r="D105" s="52" t="s">
        <v>72</v>
      </c>
      <c r="E105" s="50"/>
      <c r="F105" s="56">
        <f>E105 * 1674.1</f>
        <v>0</v>
      </c>
      <c r="P105" s="64" t="s">
        <v>546</v>
      </c>
    </row>
    <row r="106" spans="1:16" x14ac:dyDescent="0.25">
      <c r="A106" s="95"/>
      <c r="B106" s="63" t="s">
        <v>547</v>
      </c>
      <c r="C106" s="52" t="s">
        <v>548</v>
      </c>
      <c r="D106" s="52" t="s">
        <v>72</v>
      </c>
      <c r="E106" s="50"/>
      <c r="F106" s="56">
        <f>E106 * 3257.1</f>
        <v>0</v>
      </c>
      <c r="P106" s="64" t="s">
        <v>549</v>
      </c>
    </row>
    <row r="107" spans="1:16" x14ac:dyDescent="0.25">
      <c r="A107" s="95"/>
      <c r="B107" s="63" t="s">
        <v>550</v>
      </c>
      <c r="C107" s="52" t="s">
        <v>551</v>
      </c>
      <c r="D107" s="52" t="s">
        <v>72</v>
      </c>
      <c r="E107" s="50"/>
      <c r="F107" s="56">
        <f>E107 * 1484.75</f>
        <v>0</v>
      </c>
      <c r="P107" s="64" t="s">
        <v>552</v>
      </c>
    </row>
    <row r="108" spans="1:16" x14ac:dyDescent="0.25">
      <c r="A108" s="95"/>
      <c r="B108" s="63" t="s">
        <v>553</v>
      </c>
      <c r="C108" s="52" t="s">
        <v>554</v>
      </c>
      <c r="D108" s="52" t="s">
        <v>72</v>
      </c>
      <c r="E108" s="50"/>
      <c r="F108" s="56">
        <f>E108 * 1473.75</f>
        <v>0</v>
      </c>
      <c r="P108" s="64" t="s">
        <v>555</v>
      </c>
    </row>
    <row r="109" spans="1:16" x14ac:dyDescent="0.25">
      <c r="A109" s="95"/>
      <c r="B109" s="63" t="s">
        <v>556</v>
      </c>
      <c r="C109" s="52" t="s">
        <v>557</v>
      </c>
      <c r="D109" s="52" t="s">
        <v>72</v>
      </c>
      <c r="E109" s="50"/>
      <c r="F109" s="56">
        <f>E109 * 1923.5</f>
        <v>0</v>
      </c>
      <c r="P109" s="64" t="s">
        <v>558</v>
      </c>
    </row>
    <row r="110" spans="1:16" x14ac:dyDescent="0.25">
      <c r="A110" s="95"/>
      <c r="B110" s="63" t="s">
        <v>559</v>
      </c>
      <c r="C110" s="52" t="s">
        <v>560</v>
      </c>
      <c r="D110" s="52" t="s">
        <v>72</v>
      </c>
      <c r="E110" s="50"/>
      <c r="F110" s="56">
        <f>E110 * 1945.09</f>
        <v>0</v>
      </c>
      <c r="P110" s="64" t="s">
        <v>561</v>
      </c>
    </row>
    <row r="111" spans="1:16" x14ac:dyDescent="0.25">
      <c r="A111" s="95"/>
      <c r="B111" s="63" t="s">
        <v>562</v>
      </c>
      <c r="C111" s="52" t="s">
        <v>563</v>
      </c>
      <c r="D111" s="52" t="s">
        <v>72</v>
      </c>
      <c r="E111" s="50"/>
      <c r="F111" s="56">
        <f>E111 * 975.21</f>
        <v>0</v>
      </c>
      <c r="P111" s="64" t="s">
        <v>564</v>
      </c>
    </row>
    <row r="112" spans="1:16" x14ac:dyDescent="0.25">
      <c r="A112" s="95"/>
      <c r="B112" s="63" t="s">
        <v>565</v>
      </c>
      <c r="C112" s="52" t="s">
        <v>566</v>
      </c>
      <c r="D112" s="52" t="s">
        <v>72</v>
      </c>
      <c r="E112" s="50"/>
      <c r="F112" s="56">
        <f>E112 * 2127.322</f>
        <v>0</v>
      </c>
      <c r="P112" s="64" t="s">
        <v>567</v>
      </c>
    </row>
    <row r="113" spans="1:16" x14ac:dyDescent="0.25">
      <c r="A113" s="95"/>
      <c r="B113" s="63" t="s">
        <v>568</v>
      </c>
      <c r="C113" s="52" t="s">
        <v>569</v>
      </c>
      <c r="D113" s="52" t="s">
        <v>72</v>
      </c>
      <c r="E113" s="50"/>
      <c r="F113" s="56">
        <f>E113 * 2847.272</f>
        <v>0</v>
      </c>
      <c r="P113" s="64" t="s">
        <v>570</v>
      </c>
    </row>
    <row r="114" spans="1:16" x14ac:dyDescent="0.25">
      <c r="A114" s="95"/>
      <c r="B114" s="63" t="s">
        <v>571</v>
      </c>
      <c r="C114" s="52" t="s">
        <v>572</v>
      </c>
      <c r="D114" s="52" t="s">
        <v>72</v>
      </c>
      <c r="E114" s="50"/>
      <c r="F114" s="56">
        <f>E114 * 3</f>
        <v>0</v>
      </c>
      <c r="P114" s="64" t="s">
        <v>573</v>
      </c>
    </row>
    <row r="115" spans="1:16" x14ac:dyDescent="0.25">
      <c r="A115" s="95"/>
      <c r="B115" s="63" t="s">
        <v>574</v>
      </c>
      <c r="C115" s="52" t="s">
        <v>575</v>
      </c>
      <c r="D115" s="52" t="s">
        <v>72</v>
      </c>
      <c r="E115" s="50"/>
      <c r="F115" s="56">
        <f>E115 * 3</f>
        <v>0</v>
      </c>
      <c r="P115" s="64" t="s">
        <v>576</v>
      </c>
    </row>
    <row r="116" spans="1:16" x14ac:dyDescent="0.25">
      <c r="A116" s="95"/>
      <c r="B116" s="63">
        <v>502</v>
      </c>
      <c r="C116" s="52" t="s">
        <v>577</v>
      </c>
      <c r="D116" s="52" t="s">
        <v>72</v>
      </c>
      <c r="E116" s="50"/>
      <c r="F116" s="56">
        <f>E116 * 4785.92</f>
        <v>0</v>
      </c>
      <c r="P116" s="64" t="s">
        <v>578</v>
      </c>
    </row>
    <row r="117" spans="1:16" x14ac:dyDescent="0.25">
      <c r="A117" s="95" t="s">
        <v>579</v>
      </c>
      <c r="B117" s="63" t="s">
        <v>580</v>
      </c>
      <c r="C117" s="52" t="s">
        <v>581</v>
      </c>
      <c r="D117" s="52" t="s">
        <v>72</v>
      </c>
      <c r="E117" s="50"/>
      <c r="F117" s="56">
        <f>E117 * 3985</f>
        <v>0</v>
      </c>
      <c r="P117" s="64" t="s">
        <v>582</v>
      </c>
    </row>
    <row r="118" spans="1:16" x14ac:dyDescent="0.25">
      <c r="A118" s="95" t="s">
        <v>583</v>
      </c>
      <c r="B118" s="63" t="s">
        <v>584</v>
      </c>
      <c r="C118" s="52" t="s">
        <v>585</v>
      </c>
      <c r="D118" s="52" t="s">
        <v>72</v>
      </c>
      <c r="E118" s="50"/>
      <c r="F118" s="56">
        <f>E118 * 216</f>
        <v>0</v>
      </c>
      <c r="P118" s="64" t="s">
        <v>586</v>
      </c>
    </row>
    <row r="119" spans="1:16" x14ac:dyDescent="0.25">
      <c r="A119" s="95"/>
      <c r="B119" s="63" t="s">
        <v>437</v>
      </c>
      <c r="C119" s="52" t="s">
        <v>438</v>
      </c>
      <c r="D119" s="52" t="s">
        <v>72</v>
      </c>
      <c r="E119" s="50"/>
      <c r="F119" s="56">
        <f>E119 * 491</f>
        <v>0</v>
      </c>
      <c r="P119" s="64" t="s">
        <v>587</v>
      </c>
    </row>
    <row r="120" spans="1:16" x14ac:dyDescent="0.25">
      <c r="A120" s="95"/>
      <c r="B120" s="63" t="s">
        <v>588</v>
      </c>
      <c r="C120" s="52" t="s">
        <v>441</v>
      </c>
      <c r="D120" s="52" t="s">
        <v>72</v>
      </c>
      <c r="E120" s="50"/>
      <c r="F120" s="56">
        <f>E120 * 1790</f>
        <v>0</v>
      </c>
      <c r="P120" s="64" t="s">
        <v>589</v>
      </c>
    </row>
    <row r="121" spans="1:16" ht="18" x14ac:dyDescent="0.25">
      <c r="A121" s="62" t="s">
        <v>590</v>
      </c>
      <c r="B121" s="63" t="s">
        <v>591</v>
      </c>
      <c r="C121" s="52" t="s">
        <v>592</v>
      </c>
      <c r="D121" s="52" t="s">
        <v>72</v>
      </c>
      <c r="E121" s="50"/>
      <c r="F121" s="56">
        <f>E121 * 153.435</f>
        <v>0</v>
      </c>
      <c r="P121" s="64" t="s">
        <v>593</v>
      </c>
    </row>
    <row r="122" spans="1:16" x14ac:dyDescent="0.25">
      <c r="F122" s="56">
        <f>SUM(F10:F121)</f>
        <v>0</v>
      </c>
    </row>
  </sheetData>
  <mergeCells count="17">
    <mergeCell ref="A1:J1"/>
    <mergeCell ref="A2:J2"/>
    <mergeCell ref="A4:J4"/>
    <mergeCell ref="A5:J5"/>
    <mergeCell ref="A6:J6"/>
    <mergeCell ref="A8:F8"/>
    <mergeCell ref="A9:C9"/>
    <mergeCell ref="A10:A14"/>
    <mergeCell ref="A15:A34"/>
    <mergeCell ref="A35:A53"/>
    <mergeCell ref="A117"/>
    <mergeCell ref="A118:A120"/>
    <mergeCell ref="A54:A65"/>
    <mergeCell ref="A66:A93"/>
    <mergeCell ref="A94"/>
    <mergeCell ref="A95:A99"/>
    <mergeCell ref="A100:A116"/>
  </mergeCells>
  <pageMargins left="0.7" right="0.7" top="0.75" bottom="0.75" header="0.3" footer="0.3"/>
  <pageSetup paperSize="9" orientation="portrait" horizontalDpi="300" verticalDpi="300"/>
  <headerFooter>
    <oddHeader>&amp;C&amp;"Calibri"&amp;9&amp;K000000 [IN-CONFIDENCE]&amp;1#_x000D_</oddHeader>
    <oddFooter>&amp;C_x000D_&amp;1#&amp;"Calibri"&amp;9&amp;K000000 [IN-CONFIDENCE]</oddFooter>
  </headerFooter>
  <ignoredErrors>
    <ignoredError sqref="F1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99"/>
  <sheetViews>
    <sheetView showGridLines="0" topLeftCell="A127" workbookViewId="0">
      <selection activeCell="E283" sqref="E283"/>
    </sheetView>
  </sheetViews>
  <sheetFormatPr defaultColWidth="11.42578125" defaultRowHeight="15" x14ac:dyDescent="0.25"/>
  <cols>
    <col min="1" max="1" width="50.7109375" customWidth="1"/>
    <col min="2" max="2" width="37.7109375" customWidth="1"/>
    <col min="3" max="8" width="17.7109375" customWidth="1"/>
    <col min="9" max="9" width="60.7109375" customWidth="1"/>
    <col min="10" max="10" width="20.7109375" customWidth="1"/>
  </cols>
  <sheetData>
    <row r="1" spans="1:16" ht="31.5" x14ac:dyDescent="0.25">
      <c r="A1" s="98" t="s">
        <v>46</v>
      </c>
      <c r="B1" s="97"/>
      <c r="C1" s="97"/>
      <c r="D1" s="97"/>
      <c r="E1" s="97"/>
      <c r="F1" s="97"/>
      <c r="G1" s="97"/>
      <c r="H1" s="97"/>
      <c r="I1" s="97"/>
      <c r="J1" s="97"/>
    </row>
    <row r="2" spans="1:16" ht="23.25" x14ac:dyDescent="0.25">
      <c r="A2" s="99" t="s">
        <v>594</v>
      </c>
      <c r="B2" s="97"/>
      <c r="C2" s="97"/>
      <c r="D2" s="97"/>
      <c r="E2" s="97"/>
      <c r="F2" s="97"/>
      <c r="G2" s="97"/>
      <c r="H2" s="97"/>
      <c r="I2" s="97"/>
      <c r="J2" s="97"/>
    </row>
    <row r="4" spans="1:16" ht="31.5" x14ac:dyDescent="0.25">
      <c r="A4" s="98" t="s">
        <v>595</v>
      </c>
      <c r="B4" s="97"/>
      <c r="C4" s="97"/>
      <c r="D4" s="97"/>
      <c r="E4" s="97"/>
      <c r="F4" s="97"/>
      <c r="G4" s="97"/>
      <c r="H4" s="97"/>
      <c r="I4" s="97"/>
      <c r="J4" s="97"/>
    </row>
    <row r="5" spans="1:16" x14ac:dyDescent="0.25">
      <c r="A5" s="100" t="s">
        <v>49</v>
      </c>
      <c r="B5" s="97"/>
      <c r="C5" s="97"/>
      <c r="D5" s="97"/>
      <c r="E5" s="97"/>
      <c r="F5" s="97"/>
      <c r="G5" s="97"/>
      <c r="H5" s="97"/>
      <c r="I5" s="97"/>
      <c r="J5" s="97"/>
    </row>
    <row r="6" spans="1:16" x14ac:dyDescent="0.25">
      <c r="A6" s="101" t="s">
        <v>596</v>
      </c>
      <c r="B6" s="97"/>
      <c r="C6" s="97"/>
      <c r="D6" s="97"/>
      <c r="E6" s="97"/>
      <c r="F6" s="97"/>
      <c r="G6" s="97"/>
      <c r="H6" s="97"/>
      <c r="I6" s="97"/>
      <c r="J6" s="97"/>
    </row>
    <row r="8" spans="1:16" x14ac:dyDescent="0.25">
      <c r="A8" s="104" t="s">
        <v>597</v>
      </c>
      <c r="B8" s="97"/>
      <c r="C8" s="97"/>
      <c r="D8" s="97"/>
      <c r="E8" s="58" t="s">
        <v>52</v>
      </c>
      <c r="F8" s="58" t="s">
        <v>53</v>
      </c>
      <c r="G8" s="58" t="s">
        <v>54</v>
      </c>
      <c r="H8" s="58" t="s">
        <v>55</v>
      </c>
    </row>
    <row r="9" spans="1:16" x14ac:dyDescent="0.25">
      <c r="A9" s="97"/>
      <c r="B9" s="97"/>
      <c r="C9" s="97"/>
      <c r="D9" s="97"/>
      <c r="E9" s="74">
        <f>SUM(Travel!E22,Travel!E53,Travel!E116,Travel!E179,Travel!E242,Travel!E270,Travel!E283,Travel!E292,Travel!E301,Travel!E315,Travel!E329,Travel!E338,Travel!E399)</f>
        <v>0</v>
      </c>
      <c r="F9" s="57">
        <f>SUM(Travel!F22,Travel!F53,Travel!F116,Travel!F179,Travel!F242,Travel!F270,Travel!F283,Travel!F292,Travel!F301,Travel!F315,Travel!F329,Travel!F338,Travel!F399)</f>
        <v>0</v>
      </c>
      <c r="G9" s="57">
        <f>SUM(Travel!G22,Travel!G53,Travel!G116,Travel!G179,Travel!G242,Travel!G270,Travel!G283,Travel!G292,Travel!G301,Travel!G315,Travel!G329,Travel!G338,Travel!G399)</f>
        <v>0</v>
      </c>
      <c r="H9" s="57">
        <f>SUM(Travel!H22,Travel!H53,Travel!H116,Travel!H179,Travel!H242,Travel!H270,Travel!H283,Travel!H292,Travel!H301,Travel!H315,Travel!H329,Travel!H338,Travel!H399)</f>
        <v>0</v>
      </c>
    </row>
    <row r="11" spans="1:16" x14ac:dyDescent="0.25">
      <c r="A11" s="92" t="s">
        <v>598</v>
      </c>
      <c r="B11" s="92"/>
      <c r="C11" s="92"/>
      <c r="D11" s="92"/>
      <c r="E11" s="92"/>
      <c r="F11" s="92"/>
      <c r="G11" s="92"/>
      <c r="H11" s="92"/>
      <c r="I11" s="92"/>
      <c r="J11" s="92"/>
    </row>
    <row r="12" spans="1:16" x14ac:dyDescent="0.25">
      <c r="A12" s="93" t="s">
        <v>60</v>
      </c>
      <c r="B12" s="93"/>
      <c r="C12" s="59" t="s">
        <v>61</v>
      </c>
      <c r="D12" s="60" t="s">
        <v>62</v>
      </c>
      <c r="E12" s="58" t="s">
        <v>63</v>
      </c>
      <c r="F12" s="58" t="s">
        <v>64</v>
      </c>
      <c r="G12" s="58" t="s">
        <v>65</v>
      </c>
      <c r="H12" s="58" t="s">
        <v>66</v>
      </c>
      <c r="I12" s="59" t="s">
        <v>240</v>
      </c>
      <c r="J12" s="59" t="s">
        <v>67</v>
      </c>
      <c r="P12" s="61" t="s">
        <v>68</v>
      </c>
    </row>
    <row r="13" spans="1:16" x14ac:dyDescent="0.25">
      <c r="A13" s="95" t="s">
        <v>599</v>
      </c>
      <c r="B13" s="52" t="s">
        <v>600</v>
      </c>
      <c r="C13" s="52" t="s">
        <v>601</v>
      </c>
      <c r="D13" s="50"/>
      <c r="E13" s="56">
        <f t="shared" ref="E13:E21" si="0">F13 + G13 + H13</f>
        <v>0</v>
      </c>
      <c r="F13" s="57">
        <f>D13 * 0.153</f>
        <v>0</v>
      </c>
      <c r="G13" s="57">
        <f>D13 * 0.000125</f>
        <v>0</v>
      </c>
      <c r="H13" s="57">
        <f>D13 * 0.002125</f>
        <v>0</v>
      </c>
      <c r="I13" s="52" t="s">
        <v>602</v>
      </c>
      <c r="J13" s="52" t="s">
        <v>176</v>
      </c>
      <c r="P13" s="64" t="s">
        <v>603</v>
      </c>
    </row>
    <row r="14" spans="1:16" x14ac:dyDescent="0.25">
      <c r="A14" s="95"/>
      <c r="B14" s="52" t="s">
        <v>604</v>
      </c>
      <c r="C14" s="52" t="s">
        <v>601</v>
      </c>
      <c r="D14" s="50"/>
      <c r="E14" s="56">
        <f t="shared" si="0"/>
        <v>0</v>
      </c>
      <c r="F14" s="57">
        <f>D14 * 0.01481375</f>
        <v>0</v>
      </c>
      <c r="G14" s="57">
        <f>D14 * 0.0005453259</f>
        <v>0</v>
      </c>
      <c r="H14" s="57">
        <f>D14 * 0.0000172998</f>
        <v>0</v>
      </c>
      <c r="I14" s="52" t="s">
        <v>51</v>
      </c>
      <c r="J14" s="52" t="s">
        <v>176</v>
      </c>
      <c r="P14" s="64" t="s">
        <v>605</v>
      </c>
    </row>
    <row r="15" spans="1:16" x14ac:dyDescent="0.25">
      <c r="A15" s="95"/>
      <c r="B15" s="52" t="s">
        <v>606</v>
      </c>
      <c r="C15" s="52" t="s">
        <v>601</v>
      </c>
      <c r="D15" s="50"/>
      <c r="E15" s="56">
        <f t="shared" si="0"/>
        <v>0</v>
      </c>
      <c r="F15" s="57">
        <f>D15 * 0.1599400189</f>
        <v>0</v>
      </c>
      <c r="G15" s="57">
        <f>D15 * 0.0002398805</f>
        <v>0</v>
      </c>
      <c r="H15" s="57">
        <f>D15 * 0.002270298</f>
        <v>0</v>
      </c>
      <c r="I15" s="52" t="s">
        <v>51</v>
      </c>
      <c r="J15" s="52" t="s">
        <v>176</v>
      </c>
      <c r="P15" s="64" t="s">
        <v>607</v>
      </c>
    </row>
    <row r="16" spans="1:16" x14ac:dyDescent="0.25">
      <c r="A16" s="95"/>
      <c r="B16" s="52" t="s">
        <v>608</v>
      </c>
      <c r="C16" s="52" t="s">
        <v>601</v>
      </c>
      <c r="D16" s="50"/>
      <c r="E16" s="56">
        <f t="shared" si="0"/>
        <v>0</v>
      </c>
      <c r="F16" s="57">
        <f>D16 * 0.0275164628</f>
        <v>0</v>
      </c>
      <c r="G16" s="57">
        <f>D16 * 0.0010465968</f>
        <v>0</v>
      </c>
      <c r="H16" s="57">
        <f>D16 * 0.0000292134</f>
        <v>0</v>
      </c>
      <c r="I16" s="52" t="s">
        <v>51</v>
      </c>
      <c r="J16" s="52" t="s">
        <v>176</v>
      </c>
      <c r="P16" s="64" t="s">
        <v>609</v>
      </c>
    </row>
    <row r="17" spans="1:16" x14ac:dyDescent="0.25">
      <c r="A17" s="95"/>
      <c r="B17" s="52" t="s">
        <v>610</v>
      </c>
      <c r="C17" s="52" t="s">
        <v>601</v>
      </c>
      <c r="D17" s="50"/>
      <c r="E17" s="56">
        <f t="shared" si="0"/>
        <v>0</v>
      </c>
      <c r="F17" s="57">
        <f>D17 * 0.1481050426</f>
        <v>0</v>
      </c>
      <c r="G17" s="57">
        <f>D17 * 0.0002648976</f>
        <v>0</v>
      </c>
      <c r="H17" s="57">
        <f>D17 * 0.0020865291</f>
        <v>0</v>
      </c>
      <c r="I17" s="52" t="s">
        <v>51</v>
      </c>
      <c r="J17" s="52" t="s">
        <v>176</v>
      </c>
      <c r="P17" s="64" t="s">
        <v>611</v>
      </c>
    </row>
    <row r="18" spans="1:16" x14ac:dyDescent="0.25">
      <c r="A18" s="95" t="s">
        <v>612</v>
      </c>
      <c r="B18" s="52" t="s">
        <v>613</v>
      </c>
      <c r="C18" s="52" t="s">
        <v>601</v>
      </c>
      <c r="D18" s="50"/>
      <c r="E18" s="56">
        <f t="shared" si="0"/>
        <v>0</v>
      </c>
      <c r="F18" s="57">
        <f>D18 * 0.0142735115</f>
        <v>0</v>
      </c>
      <c r="G18" s="57">
        <f>D18 * 0.0005275278</f>
        <v>0</v>
      </c>
      <c r="H18" s="57">
        <f>D18 * 0.0000155478</f>
        <v>0</v>
      </c>
      <c r="I18" s="52" t="s">
        <v>51</v>
      </c>
      <c r="J18" s="52" t="s">
        <v>176</v>
      </c>
      <c r="P18" s="64" t="s">
        <v>614</v>
      </c>
    </row>
    <row r="19" spans="1:16" x14ac:dyDescent="0.25">
      <c r="A19" s="95"/>
      <c r="B19" s="52" t="s">
        <v>615</v>
      </c>
      <c r="C19" s="52" t="s">
        <v>601</v>
      </c>
      <c r="D19" s="50"/>
      <c r="E19" s="56">
        <f t="shared" si="0"/>
        <v>0</v>
      </c>
      <c r="F19" s="57">
        <f>D19 * 0.2702925963</f>
        <v>0</v>
      </c>
      <c r="G19" s="57">
        <f>D19 * 0.0004053891</f>
        <v>0</v>
      </c>
      <c r="H19" s="57">
        <f>D19 * 0.0038367179</f>
        <v>0</v>
      </c>
      <c r="I19" s="52" t="s">
        <v>51</v>
      </c>
      <c r="J19" s="52" t="s">
        <v>176</v>
      </c>
      <c r="P19" s="64" t="s">
        <v>616</v>
      </c>
    </row>
    <row r="20" spans="1:16" x14ac:dyDescent="0.25">
      <c r="A20" s="95"/>
      <c r="B20" s="52" t="s">
        <v>617</v>
      </c>
      <c r="C20" s="52" t="s">
        <v>601</v>
      </c>
      <c r="D20" s="50"/>
      <c r="E20" s="56">
        <f t="shared" si="0"/>
        <v>0</v>
      </c>
      <c r="F20" s="57">
        <f>D20 * 0.0215868771</f>
        <v>0</v>
      </c>
      <c r="G20" s="57">
        <f>D20 * 0.0005240388</f>
        <v>0</v>
      </c>
      <c r="H20" s="57">
        <f>D20 * 0.0001247022</f>
        <v>0</v>
      </c>
      <c r="I20" s="52" t="s">
        <v>51</v>
      </c>
      <c r="J20" s="52" t="s">
        <v>176</v>
      </c>
      <c r="P20" s="64" t="s">
        <v>618</v>
      </c>
    </row>
    <row r="21" spans="1:16" x14ac:dyDescent="0.25">
      <c r="A21" s="62" t="s">
        <v>619</v>
      </c>
      <c r="B21" s="52" t="s">
        <v>620</v>
      </c>
      <c r="C21" s="52" t="s">
        <v>601</v>
      </c>
      <c r="D21" s="50"/>
      <c r="E21" s="56">
        <f t="shared" si="0"/>
        <v>0</v>
      </c>
      <c r="F21" s="57">
        <f>D21 * 0.2796055792</f>
        <v>0</v>
      </c>
      <c r="G21" s="57">
        <f>D21 * 0.0004193568</f>
        <v>0</v>
      </c>
      <c r="H21" s="57">
        <f>D21 * 0.0039689128</f>
        <v>0</v>
      </c>
      <c r="I21" s="52" t="s">
        <v>51</v>
      </c>
      <c r="J21" s="52" t="s">
        <v>176</v>
      </c>
      <c r="P21" s="64" t="s">
        <v>621</v>
      </c>
    </row>
    <row r="22" spans="1:16" x14ac:dyDescent="0.25">
      <c r="D22" s="65" t="s">
        <v>116</v>
      </c>
      <c r="E22" s="56">
        <f>SUM(E13:E21)</f>
        <v>0</v>
      </c>
      <c r="F22" s="57">
        <f>SUM(F13:F21)</f>
        <v>0</v>
      </c>
      <c r="G22" s="57">
        <f>SUM(G13:G21)</f>
        <v>0</v>
      </c>
      <c r="H22" s="57">
        <f>SUM(H13:H21)</f>
        <v>0</v>
      </c>
    </row>
    <row r="24" spans="1:16" x14ac:dyDescent="0.25">
      <c r="A24" s="92" t="s">
        <v>622</v>
      </c>
      <c r="B24" s="92"/>
      <c r="C24" s="92"/>
      <c r="D24" s="92"/>
      <c r="E24" s="92"/>
      <c r="F24" s="92"/>
      <c r="G24" s="92"/>
      <c r="H24" s="92"/>
    </row>
    <row r="25" spans="1:16" x14ac:dyDescent="0.25">
      <c r="A25" s="93" t="s">
        <v>623</v>
      </c>
      <c r="B25" s="93"/>
      <c r="C25" s="59" t="s">
        <v>61</v>
      </c>
      <c r="D25" s="60" t="s">
        <v>62</v>
      </c>
      <c r="E25" s="58" t="s">
        <v>63</v>
      </c>
      <c r="F25" s="58" t="s">
        <v>64</v>
      </c>
      <c r="G25" s="58" t="s">
        <v>65</v>
      </c>
      <c r="H25" s="58" t="s">
        <v>66</v>
      </c>
      <c r="P25" s="61" t="s">
        <v>68</v>
      </c>
    </row>
    <row r="26" spans="1:16" x14ac:dyDescent="0.25">
      <c r="A26" s="95" t="s">
        <v>60</v>
      </c>
      <c r="B26" s="94" t="s">
        <v>624</v>
      </c>
      <c r="C26" s="94"/>
      <c r="D26" s="94"/>
      <c r="E26" s="94"/>
      <c r="F26" s="94"/>
      <c r="G26" s="94"/>
      <c r="H26" s="94"/>
    </row>
    <row r="27" spans="1:16" x14ac:dyDescent="0.25">
      <c r="A27" s="95"/>
      <c r="B27" s="52" t="s">
        <v>625</v>
      </c>
      <c r="C27" s="52" t="s">
        <v>626</v>
      </c>
      <c r="D27" s="50"/>
      <c r="E27" s="56">
        <f>F27 + G27 + H27</f>
        <v>0</v>
      </c>
      <c r="F27" s="57">
        <f>D27 * 0.1800618048</f>
        <v>0</v>
      </c>
      <c r="G27" s="57">
        <f>D27 * 0.0023981253</f>
        <v>0</v>
      </c>
      <c r="H27" s="57">
        <f>D27 * 0.0055021922</f>
        <v>0</v>
      </c>
      <c r="P27" s="64" t="s">
        <v>627</v>
      </c>
    </row>
    <row r="28" spans="1:16" x14ac:dyDescent="0.25">
      <c r="A28" s="95"/>
      <c r="B28" s="52" t="s">
        <v>628</v>
      </c>
      <c r="C28" s="52" t="s">
        <v>626</v>
      </c>
      <c r="D28" s="50"/>
      <c r="E28" s="56">
        <f>F28 + G28 + H28</f>
        <v>0</v>
      </c>
      <c r="F28" s="57">
        <f>D28 * 0.1863542872</f>
        <v>0</v>
      </c>
      <c r="G28" s="57">
        <f>D28 * 0.0024819308</f>
        <v>0</v>
      </c>
      <c r="H28" s="57">
        <f>D28 * 0.0056944732</f>
        <v>0</v>
      </c>
      <c r="P28" s="64" t="s">
        <v>629</v>
      </c>
    </row>
    <row r="29" spans="1:16" x14ac:dyDescent="0.25">
      <c r="A29" s="95"/>
      <c r="B29" s="52" t="s">
        <v>630</v>
      </c>
      <c r="C29" s="52" t="s">
        <v>626</v>
      </c>
      <c r="D29" s="50"/>
      <c r="E29" s="56">
        <f>F29 + G29 + H29</f>
        <v>0</v>
      </c>
      <c r="F29" s="57">
        <f>D29 * 0.209830087</f>
        <v>0</v>
      </c>
      <c r="G29" s="57">
        <f>D29 * 0.0027945896</f>
        <v>0</v>
      </c>
      <c r="H29" s="57">
        <f>D29 * 0.0064118289</f>
        <v>0</v>
      </c>
      <c r="P29" s="64" t="s">
        <v>631</v>
      </c>
    </row>
    <row r="30" spans="1:16" x14ac:dyDescent="0.25">
      <c r="A30" s="95"/>
      <c r="B30" s="52" t="s">
        <v>632</v>
      </c>
      <c r="C30" s="52" t="s">
        <v>626</v>
      </c>
      <c r="D30" s="50"/>
      <c r="E30" s="56">
        <f>F30 + G30 + H30</f>
        <v>0</v>
      </c>
      <c r="F30" s="57">
        <f>D30 * 0.2330638683</f>
        <v>0</v>
      </c>
      <c r="G30" s="57">
        <f>D30 * 0.0031040251</f>
        <v>0</v>
      </c>
      <c r="H30" s="57">
        <f>D30 * 0.0071217892</f>
        <v>0</v>
      </c>
      <c r="P30" s="64" t="s">
        <v>633</v>
      </c>
    </row>
    <row r="31" spans="1:16" x14ac:dyDescent="0.25">
      <c r="A31" s="95"/>
      <c r="B31" s="52" t="s">
        <v>634</v>
      </c>
      <c r="C31" s="52" t="s">
        <v>626</v>
      </c>
      <c r="D31" s="50"/>
      <c r="E31" s="56">
        <f>F31 + G31 + H31</f>
        <v>0</v>
      </c>
      <c r="F31" s="57">
        <f>D31 * 0.2788053752</f>
        <v>0</v>
      </c>
      <c r="G31" s="57">
        <f>D31 * 0.0037132263</f>
        <v>0</v>
      </c>
      <c r="H31" s="57">
        <f>D31 * 0.0085195235</f>
        <v>0</v>
      </c>
      <c r="P31" s="64" t="s">
        <v>635</v>
      </c>
    </row>
    <row r="32" spans="1:16" x14ac:dyDescent="0.25">
      <c r="A32" s="95"/>
      <c r="B32" s="94" t="s">
        <v>636</v>
      </c>
      <c r="C32" s="94"/>
      <c r="D32" s="94"/>
      <c r="E32" s="94"/>
      <c r="F32" s="94"/>
      <c r="G32" s="94"/>
      <c r="H32" s="94"/>
    </row>
    <row r="33" spans="1:16" x14ac:dyDescent="0.25">
      <c r="A33" s="95"/>
      <c r="B33" s="52" t="s">
        <v>625</v>
      </c>
      <c r="C33" s="52" t="s">
        <v>626</v>
      </c>
      <c r="D33" s="50"/>
      <c r="E33" s="56">
        <f>F33 + G33 + H33</f>
        <v>0</v>
      </c>
      <c r="F33" s="57">
        <f>D33 * 0.2078469753</f>
        <v>0</v>
      </c>
      <c r="G33" s="57">
        <f>D33 * 0.0003117321</f>
        <v>0</v>
      </c>
      <c r="H33" s="57">
        <f>D33 * 0.0029503221</f>
        <v>0</v>
      </c>
      <c r="P33" s="64" t="s">
        <v>637</v>
      </c>
    </row>
    <row r="34" spans="1:16" x14ac:dyDescent="0.25">
      <c r="A34" s="95"/>
      <c r="B34" s="52" t="s">
        <v>628</v>
      </c>
      <c r="C34" s="52" t="s">
        <v>626</v>
      </c>
      <c r="D34" s="50"/>
      <c r="E34" s="56">
        <f>F34 + G34 + H34</f>
        <v>0</v>
      </c>
      <c r="F34" s="57">
        <f>D34 * 0.2000140108</f>
        <v>0</v>
      </c>
      <c r="G34" s="57">
        <f>D34 * 0.0002999841</f>
        <v>0</v>
      </c>
      <c r="H34" s="57">
        <f>D34 * 0.0028391356</f>
        <v>0</v>
      </c>
      <c r="P34" s="64" t="s">
        <v>638</v>
      </c>
    </row>
    <row r="35" spans="1:16" x14ac:dyDescent="0.25">
      <c r="A35" s="95"/>
      <c r="B35" s="52" t="s">
        <v>630</v>
      </c>
      <c r="C35" s="52" t="s">
        <v>626</v>
      </c>
      <c r="D35" s="50"/>
      <c r="E35" s="56">
        <f>F35 + G35 + H35</f>
        <v>0</v>
      </c>
      <c r="F35" s="57">
        <f>D35 * 0.2119915532</f>
        <v>0</v>
      </c>
      <c r="G35" s="57">
        <f>D35 * 0.0003179482</f>
        <v>0</v>
      </c>
      <c r="H35" s="57">
        <f>D35 * 0.0030091531</f>
        <v>0</v>
      </c>
      <c r="P35" s="64" t="s">
        <v>639</v>
      </c>
    </row>
    <row r="36" spans="1:16" x14ac:dyDescent="0.25">
      <c r="A36" s="95"/>
      <c r="B36" s="52" t="s">
        <v>640</v>
      </c>
      <c r="C36" s="52" t="s">
        <v>626</v>
      </c>
      <c r="D36" s="50"/>
      <c r="E36" s="56">
        <f>F36 + G36 + H36</f>
        <v>0</v>
      </c>
      <c r="F36" s="57">
        <f>D36 * 0.2606175122</f>
        <v>0</v>
      </c>
      <c r="G36" s="57">
        <f>D36 * 0.0003908782</f>
        <v>0</v>
      </c>
      <c r="H36" s="57">
        <f>D36 * 0.0036993832</f>
        <v>0</v>
      </c>
      <c r="P36" s="64" t="s">
        <v>641</v>
      </c>
    </row>
    <row r="37" spans="1:16" x14ac:dyDescent="0.25">
      <c r="A37" s="95"/>
      <c r="B37" s="52" t="s">
        <v>634</v>
      </c>
      <c r="C37" s="52" t="s">
        <v>626</v>
      </c>
      <c r="D37" s="50"/>
      <c r="E37" s="56">
        <f>F37 + G37 + H37</f>
        <v>0</v>
      </c>
      <c r="F37" s="57">
        <f>D37 * 0.2890947018</f>
        <v>0</v>
      </c>
      <c r="G37" s="57">
        <f>D37 * 0.0004335888</f>
        <v>0</v>
      </c>
      <c r="H37" s="57">
        <f>D37 * 0.0041036079</f>
        <v>0</v>
      </c>
      <c r="P37" s="64" t="s">
        <v>642</v>
      </c>
    </row>
    <row r="38" spans="1:16" x14ac:dyDescent="0.25">
      <c r="A38" s="95"/>
      <c r="B38" s="94" t="s">
        <v>643</v>
      </c>
      <c r="C38" s="94"/>
      <c r="D38" s="94"/>
      <c r="E38" s="94"/>
      <c r="F38" s="94"/>
      <c r="G38" s="94"/>
      <c r="H38" s="94"/>
    </row>
    <row r="39" spans="1:16" x14ac:dyDescent="0.25">
      <c r="A39" s="95"/>
      <c r="B39" s="52" t="s">
        <v>625</v>
      </c>
      <c r="C39" s="52" t="s">
        <v>626</v>
      </c>
      <c r="D39" s="50"/>
      <c r="E39" s="56">
        <f>F39 + G39 + H39</f>
        <v>0</v>
      </c>
      <c r="F39" s="57">
        <f>D39 * 0.1421540564</f>
        <v>0</v>
      </c>
      <c r="G39" s="57">
        <f>D39 * 0.0018932568</f>
        <v>0</v>
      </c>
      <c r="H39" s="57">
        <f>D39 * 0.004343836</f>
        <v>0</v>
      </c>
      <c r="P39" s="64" t="s">
        <v>644</v>
      </c>
    </row>
    <row r="40" spans="1:16" x14ac:dyDescent="0.25">
      <c r="A40" s="95"/>
      <c r="B40" s="52" t="s">
        <v>628</v>
      </c>
      <c r="C40" s="52" t="s">
        <v>626</v>
      </c>
      <c r="D40" s="50"/>
      <c r="E40" s="56">
        <f>F40 + G40 + H40</f>
        <v>0</v>
      </c>
      <c r="F40" s="57">
        <f>D40 * 0.1471218057</f>
        <v>0</v>
      </c>
      <c r="G40" s="57">
        <f>D40 * 0.001959419</f>
        <v>0</v>
      </c>
      <c r="H40" s="57">
        <f>D40 * 0.0044956367</f>
        <v>0</v>
      </c>
      <c r="P40" s="64" t="s">
        <v>645</v>
      </c>
    </row>
    <row r="41" spans="1:16" x14ac:dyDescent="0.25">
      <c r="A41" s="95"/>
      <c r="B41" s="52" t="s">
        <v>630</v>
      </c>
      <c r="C41" s="52" t="s">
        <v>626</v>
      </c>
      <c r="D41" s="50"/>
      <c r="E41" s="56">
        <f>F41 + G41 + H41</f>
        <v>0</v>
      </c>
      <c r="F41" s="57">
        <f>D41 * 0.1656553319</f>
        <v>0</v>
      </c>
      <c r="G41" s="57">
        <f>D41 * 0.0022062549</f>
        <v>0</v>
      </c>
      <c r="H41" s="57">
        <f>D41 * 0.0050619702</f>
        <v>0</v>
      </c>
      <c r="P41" s="64" t="s">
        <v>646</v>
      </c>
    </row>
    <row r="42" spans="1:16" x14ac:dyDescent="0.25">
      <c r="A42" s="95"/>
      <c r="B42" s="52" t="s">
        <v>640</v>
      </c>
      <c r="C42" s="52" t="s">
        <v>626</v>
      </c>
      <c r="D42" s="50"/>
      <c r="E42" s="56">
        <f>F42 + G42 + H42</f>
        <v>0</v>
      </c>
      <c r="F42" s="57">
        <f>D42 * 0.1839977908</f>
        <v>0</v>
      </c>
      <c r="G42" s="57">
        <f>D42 * 0.0024505461</f>
        <v>0</v>
      </c>
      <c r="H42" s="57">
        <f>D42 * 0.0056224651</f>
        <v>0</v>
      </c>
      <c r="P42" s="64" t="s">
        <v>647</v>
      </c>
    </row>
    <row r="43" spans="1:16" x14ac:dyDescent="0.25">
      <c r="A43" s="95"/>
      <c r="B43" s="52" t="s">
        <v>634</v>
      </c>
      <c r="C43" s="52" t="s">
        <v>626</v>
      </c>
      <c r="D43" s="50"/>
      <c r="E43" s="56">
        <f>F43 + G43 + H43</f>
        <v>0</v>
      </c>
      <c r="F43" s="57">
        <f>D43 * 0.2201095067</f>
        <v>0</v>
      </c>
      <c r="G43" s="57">
        <f>D43 * 0.0029314944</f>
        <v>0</v>
      </c>
      <c r="H43" s="57">
        <f>D43 * 0.0067259396</f>
        <v>0</v>
      </c>
      <c r="P43" s="64" t="s">
        <v>648</v>
      </c>
    </row>
    <row r="44" spans="1:16" x14ac:dyDescent="0.25">
      <c r="A44" s="95"/>
      <c r="B44" s="94" t="s">
        <v>649</v>
      </c>
      <c r="C44" s="94"/>
      <c r="D44" s="94"/>
      <c r="E44" s="94"/>
      <c r="F44" s="94"/>
      <c r="G44" s="94"/>
      <c r="H44" s="94"/>
    </row>
    <row r="45" spans="1:16" x14ac:dyDescent="0.25">
      <c r="A45" s="95"/>
      <c r="B45" s="52" t="s">
        <v>625</v>
      </c>
      <c r="C45" s="52" t="s">
        <v>626</v>
      </c>
      <c r="D45" s="50"/>
      <c r="E45" s="56">
        <f>F45 + G45 + H45</f>
        <v>0</v>
      </c>
      <c r="F45" s="57">
        <f>D45 * 0.1863199672</f>
        <v>0</v>
      </c>
      <c r="G45" s="57">
        <f>D45 * 0.0002794456</f>
        <v>0</v>
      </c>
      <c r="H45" s="57">
        <f>D45 * 0.002644753</f>
        <v>0</v>
      </c>
      <c r="P45" s="64" t="s">
        <v>650</v>
      </c>
    </row>
    <row r="46" spans="1:16" x14ac:dyDescent="0.25">
      <c r="A46" s="95"/>
      <c r="B46" s="52" t="s">
        <v>628</v>
      </c>
      <c r="C46" s="52" t="s">
        <v>626</v>
      </c>
      <c r="D46" s="50"/>
      <c r="E46" s="56">
        <f>F46 + G46 + H46</f>
        <v>0</v>
      </c>
      <c r="F46" s="57">
        <f>D46 * 0.179298274</f>
        <v>0</v>
      </c>
      <c r="G46" s="57">
        <f>D46 * 0.0002689144</f>
        <v>0</v>
      </c>
      <c r="H46" s="57">
        <f>D46 * 0.0025450823</f>
        <v>0</v>
      </c>
      <c r="P46" s="64" t="s">
        <v>651</v>
      </c>
    </row>
    <row r="47" spans="1:16" x14ac:dyDescent="0.25">
      <c r="A47" s="95"/>
      <c r="B47" s="52" t="s">
        <v>630</v>
      </c>
      <c r="C47" s="52" t="s">
        <v>626</v>
      </c>
      <c r="D47" s="50"/>
      <c r="E47" s="56">
        <f>F47 + G47 + H47</f>
        <v>0</v>
      </c>
      <c r="F47" s="57">
        <f>D47 * 0.1900352852</f>
        <v>0</v>
      </c>
      <c r="G47" s="57">
        <f>D47 * 0.0002850179</f>
        <v>0</v>
      </c>
      <c r="H47" s="57">
        <f>D47 * 0.0026974908</f>
        <v>0</v>
      </c>
      <c r="P47" s="64" t="s">
        <v>652</v>
      </c>
    </row>
    <row r="48" spans="1:16" x14ac:dyDescent="0.25">
      <c r="A48" s="95"/>
      <c r="B48" s="52" t="s">
        <v>640</v>
      </c>
      <c r="C48" s="52" t="s">
        <v>626</v>
      </c>
      <c r="D48" s="50"/>
      <c r="E48" s="56">
        <f>F48 + G48 + H48</f>
        <v>0</v>
      </c>
      <c r="F48" s="57">
        <f>D48 * 0.2336249842</f>
        <v>0</v>
      </c>
      <c r="G48" s="57">
        <f>D48 * 0.0003503944</f>
        <v>0</v>
      </c>
      <c r="H48" s="57">
        <f>D48 * 0.0033162328</f>
        <v>0</v>
      </c>
      <c r="P48" s="64" t="s">
        <v>653</v>
      </c>
    </row>
    <row r="49" spans="1:16" x14ac:dyDescent="0.25">
      <c r="A49" s="95"/>
      <c r="B49" s="52" t="s">
        <v>634</v>
      </c>
      <c r="C49" s="52" t="s">
        <v>626</v>
      </c>
      <c r="D49" s="50"/>
      <c r="E49" s="56">
        <f>F49 + G49 + H49</f>
        <v>0</v>
      </c>
      <c r="F49" s="57">
        <f>D49 * 0.2591527505</f>
        <v>0</v>
      </c>
      <c r="G49" s="57">
        <f>D49 * 0.0003886814</f>
        <v>0</v>
      </c>
      <c r="H49" s="57">
        <f>D49 * 0.0036785914</f>
        <v>0</v>
      </c>
      <c r="P49" s="64" t="s">
        <v>654</v>
      </c>
    </row>
    <row r="50" spans="1:16" x14ac:dyDescent="0.25">
      <c r="A50" s="95"/>
      <c r="B50" s="94" t="s">
        <v>655</v>
      </c>
      <c r="C50" s="94"/>
      <c r="D50" s="94"/>
      <c r="E50" s="94"/>
      <c r="F50" s="94"/>
      <c r="G50" s="94"/>
      <c r="H50" s="94"/>
    </row>
    <row r="51" spans="1:16" x14ac:dyDescent="0.25">
      <c r="A51" s="95"/>
      <c r="B51" s="52" t="s">
        <v>656</v>
      </c>
      <c r="C51" s="52" t="s">
        <v>626</v>
      </c>
      <c r="D51" s="50"/>
      <c r="E51" s="56">
        <f>F51 + G51 + H51</f>
        <v>0</v>
      </c>
      <c r="F51" s="57">
        <f>D51 * 0.0631971898</f>
        <v>0</v>
      </c>
      <c r="G51" s="57">
        <f>D51 * 0.000841682</f>
        <v>0</v>
      </c>
      <c r="H51" s="57">
        <f>D51 * 0.0019311319</f>
        <v>0</v>
      </c>
      <c r="P51" s="64" t="s">
        <v>657</v>
      </c>
    </row>
    <row r="52" spans="1:16" x14ac:dyDescent="0.25">
      <c r="A52" s="95"/>
      <c r="B52" s="52" t="s">
        <v>658</v>
      </c>
      <c r="C52" s="52" t="s">
        <v>626</v>
      </c>
      <c r="D52" s="50"/>
      <c r="E52" s="56">
        <f>F52 + G52 + H52</f>
        <v>0</v>
      </c>
      <c r="F52" s="57">
        <f>D52 * 0.1263943796</f>
        <v>0</v>
      </c>
      <c r="G52" s="57">
        <f>D52 * 0.001683364</f>
        <v>0</v>
      </c>
      <c r="H52" s="57">
        <f>D52 * 0.0038622637</f>
        <v>0</v>
      </c>
      <c r="P52" s="64" t="s">
        <v>659</v>
      </c>
    </row>
    <row r="53" spans="1:16" x14ac:dyDescent="0.25">
      <c r="D53" s="65" t="s">
        <v>116</v>
      </c>
      <c r="E53" s="56">
        <f>SUM(E26:E52)</f>
        <v>0</v>
      </c>
      <c r="F53" s="57">
        <f>SUM(F26:F52)</f>
        <v>0</v>
      </c>
      <c r="G53" s="57">
        <f>SUM(G26:G52)</f>
        <v>0</v>
      </c>
      <c r="H53" s="57">
        <f>SUM(H26:H52)</f>
        <v>0</v>
      </c>
    </row>
    <row r="55" spans="1:16" x14ac:dyDescent="0.25">
      <c r="A55" s="92" t="s">
        <v>622</v>
      </c>
      <c r="B55" s="92"/>
      <c r="C55" s="92"/>
      <c r="D55" s="92"/>
      <c r="E55" s="92"/>
      <c r="F55" s="92"/>
      <c r="G55" s="92"/>
      <c r="H55" s="92"/>
    </row>
    <row r="56" spans="1:16" x14ac:dyDescent="0.25">
      <c r="A56" s="93" t="s">
        <v>660</v>
      </c>
      <c r="B56" s="93"/>
      <c r="C56" s="59" t="s">
        <v>61</v>
      </c>
      <c r="D56" s="60" t="s">
        <v>62</v>
      </c>
      <c r="E56" s="58" t="s">
        <v>63</v>
      </c>
      <c r="F56" s="58" t="s">
        <v>64</v>
      </c>
      <c r="G56" s="58" t="s">
        <v>65</v>
      </c>
      <c r="H56" s="58" t="s">
        <v>66</v>
      </c>
      <c r="P56" s="61" t="s">
        <v>68</v>
      </c>
    </row>
    <row r="57" spans="1:16" x14ac:dyDescent="0.25">
      <c r="A57" s="95" t="s">
        <v>60</v>
      </c>
      <c r="B57" s="94" t="s">
        <v>624</v>
      </c>
      <c r="C57" s="94"/>
      <c r="D57" s="94"/>
      <c r="E57" s="94"/>
      <c r="F57" s="94"/>
      <c r="G57" s="94"/>
      <c r="H57" s="94"/>
    </row>
    <row r="58" spans="1:16" x14ac:dyDescent="0.25">
      <c r="A58" s="95"/>
      <c r="B58" s="52" t="s">
        <v>625</v>
      </c>
      <c r="C58" s="52" t="s">
        <v>626</v>
      </c>
      <c r="D58" s="50"/>
      <c r="E58" s="56">
        <f>F58 + G58 + H58</f>
        <v>0</v>
      </c>
      <c r="F58" s="57">
        <f>D58 * 0.1595742306</f>
        <v>0</v>
      </c>
      <c r="G58" s="57">
        <f>D58 * 0.0021252647</f>
        <v>0</v>
      </c>
      <c r="H58" s="57">
        <f>D58 * 0.0048761485</f>
        <v>0</v>
      </c>
      <c r="P58" s="64" t="s">
        <v>661</v>
      </c>
    </row>
    <row r="59" spans="1:16" x14ac:dyDescent="0.25">
      <c r="A59" s="95"/>
      <c r="B59" s="52" t="s">
        <v>628</v>
      </c>
      <c r="C59" s="52" t="s">
        <v>626</v>
      </c>
      <c r="D59" s="50"/>
      <c r="E59" s="56">
        <f>F59 + G59 + H59</f>
        <v>0</v>
      </c>
      <c r="F59" s="57">
        <f>D59 * 0.1651507494</f>
        <v>0</v>
      </c>
      <c r="G59" s="57">
        <f>D59 * 0.0021995347</f>
        <v>0</v>
      </c>
      <c r="H59" s="57">
        <f>D59 * 0.0050465515</f>
        <v>0</v>
      </c>
      <c r="P59" s="64" t="s">
        <v>662</v>
      </c>
    </row>
    <row r="60" spans="1:16" x14ac:dyDescent="0.25">
      <c r="A60" s="95"/>
      <c r="B60" s="52" t="s">
        <v>630</v>
      </c>
      <c r="C60" s="52" t="s">
        <v>626</v>
      </c>
      <c r="D60" s="50"/>
      <c r="E60" s="56">
        <f>F60 + G60 + H60</f>
        <v>0</v>
      </c>
      <c r="F60" s="57">
        <f>D60 * 0.1859554542</f>
        <v>0</v>
      </c>
      <c r="G60" s="57">
        <f>D60 * 0.002476619</f>
        <v>0</v>
      </c>
      <c r="H60" s="57">
        <f>D60 * 0.0056822859</f>
        <v>0</v>
      </c>
      <c r="P60" s="64" t="s">
        <v>663</v>
      </c>
    </row>
    <row r="61" spans="1:16" x14ac:dyDescent="0.25">
      <c r="A61" s="95"/>
      <c r="B61" s="52" t="s">
        <v>632</v>
      </c>
      <c r="C61" s="52" t="s">
        <v>626</v>
      </c>
      <c r="D61" s="50"/>
      <c r="E61" s="56">
        <f>F61 + G61 + H61</f>
        <v>0</v>
      </c>
      <c r="F61" s="57">
        <f>D61 * 0.2065456775</f>
        <v>0</v>
      </c>
      <c r="G61" s="57">
        <f>D61 * 0.0027508467</f>
        <v>0</v>
      </c>
      <c r="H61" s="57">
        <f>D61 * 0.0063114664</f>
        <v>0</v>
      </c>
      <c r="P61" s="64" t="s">
        <v>664</v>
      </c>
    </row>
    <row r="62" spans="1:16" x14ac:dyDescent="0.25">
      <c r="A62" s="95"/>
      <c r="B62" s="52" t="s">
        <v>634</v>
      </c>
      <c r="C62" s="52" t="s">
        <v>626</v>
      </c>
      <c r="D62" s="50"/>
      <c r="E62" s="56">
        <f>F62 + G62 + H62</f>
        <v>0</v>
      </c>
      <c r="F62" s="57">
        <f>D62 * 0.2470826796</f>
        <v>0</v>
      </c>
      <c r="G62" s="57">
        <f>D62 * 0.0032907325</f>
        <v>0</v>
      </c>
      <c r="H62" s="57">
        <f>D62 * 0.0075501654</f>
        <v>0</v>
      </c>
      <c r="P62" s="64" t="s">
        <v>665</v>
      </c>
    </row>
    <row r="63" spans="1:16" x14ac:dyDescent="0.25">
      <c r="A63" s="95"/>
      <c r="B63" s="94" t="s">
        <v>636</v>
      </c>
      <c r="C63" s="94"/>
      <c r="D63" s="94"/>
      <c r="E63" s="94"/>
      <c r="F63" s="94"/>
      <c r="G63" s="94"/>
      <c r="H63" s="94"/>
    </row>
    <row r="64" spans="1:16" x14ac:dyDescent="0.25">
      <c r="A64" s="95"/>
      <c r="B64" s="52" t="s">
        <v>625</v>
      </c>
      <c r="C64" s="52" t="s">
        <v>626</v>
      </c>
      <c r="D64" s="50"/>
      <c r="E64" s="56">
        <f>F64 + G64 + H64</f>
        <v>0</v>
      </c>
      <c r="F64" s="57">
        <f>D64 * 0.1845028395</f>
        <v>0</v>
      </c>
      <c r="G64" s="57">
        <f>D64 * 0.0002767202</f>
        <v>0</v>
      </c>
      <c r="H64" s="57">
        <f>D64 * 0.0026189595</f>
        <v>0</v>
      </c>
      <c r="P64" s="64" t="s">
        <v>666</v>
      </c>
    </row>
    <row r="65" spans="1:16" x14ac:dyDescent="0.25">
      <c r="A65" s="95"/>
      <c r="B65" s="52" t="s">
        <v>628</v>
      </c>
      <c r="C65" s="52" t="s">
        <v>626</v>
      </c>
      <c r="D65" s="50"/>
      <c r="E65" s="56">
        <f>F65 + G65 + H65</f>
        <v>0</v>
      </c>
      <c r="F65" s="57">
        <f>D65 * 0.177549627</f>
        <v>0</v>
      </c>
      <c r="G65" s="57">
        <f>D65 * 0.0002662917</f>
        <v>0</v>
      </c>
      <c r="H65" s="57">
        <f>D65 * 0.0025202608</f>
        <v>0</v>
      </c>
      <c r="P65" s="64" t="s">
        <v>667</v>
      </c>
    </row>
    <row r="66" spans="1:16" x14ac:dyDescent="0.25">
      <c r="A66" s="95"/>
      <c r="B66" s="52" t="s">
        <v>630</v>
      </c>
      <c r="C66" s="52" t="s">
        <v>626</v>
      </c>
      <c r="D66" s="50"/>
      <c r="E66" s="56">
        <f>F66 + G66 + H66</f>
        <v>0</v>
      </c>
      <c r="F66" s="57">
        <f>D66 * 0.1881819231</f>
        <v>0</v>
      </c>
      <c r="G66" s="57">
        <f>D66 * 0.0002822382</f>
        <v>0</v>
      </c>
      <c r="H66" s="57">
        <f>D66 * 0.0026711829</f>
        <v>0</v>
      </c>
      <c r="P66" s="64" t="s">
        <v>668</v>
      </c>
    </row>
    <row r="67" spans="1:16" x14ac:dyDescent="0.25">
      <c r="A67" s="95"/>
      <c r="B67" s="52" t="s">
        <v>640</v>
      </c>
      <c r="C67" s="52" t="s">
        <v>626</v>
      </c>
      <c r="D67" s="50"/>
      <c r="E67" s="56">
        <f>F67 + G67 + H67</f>
        <v>0</v>
      </c>
      <c r="F67" s="57">
        <f>D67 * 0.23132737</f>
        <v>0</v>
      </c>
      <c r="G67" s="57">
        <f>D67 * 0.0003469484</f>
        <v>0</v>
      </c>
      <c r="H67" s="57">
        <f>D67 * 0.0032836189</f>
        <v>0</v>
      </c>
      <c r="P67" s="64" t="s">
        <v>669</v>
      </c>
    </row>
    <row r="68" spans="1:16" x14ac:dyDescent="0.25">
      <c r="A68" s="95"/>
      <c r="B68" s="52" t="s">
        <v>634</v>
      </c>
      <c r="C68" s="52" t="s">
        <v>626</v>
      </c>
      <c r="D68" s="50"/>
      <c r="E68" s="56">
        <f>F68 + G68 + H68</f>
        <v>0</v>
      </c>
      <c r="F68" s="57">
        <f>D68 * 0.2566040803</f>
        <v>0</v>
      </c>
      <c r="G68" s="57">
        <f>D68 * 0.0003848588</f>
        <v>0</v>
      </c>
      <c r="H68" s="57">
        <f>D68 * 0.0036424138</f>
        <v>0</v>
      </c>
      <c r="P68" s="64" t="s">
        <v>670</v>
      </c>
    </row>
    <row r="69" spans="1:16" x14ac:dyDescent="0.25">
      <c r="A69" s="95"/>
      <c r="B69" s="94" t="s">
        <v>643</v>
      </c>
      <c r="C69" s="94"/>
      <c r="D69" s="94"/>
      <c r="E69" s="94"/>
      <c r="F69" s="94"/>
      <c r="G69" s="94"/>
      <c r="H69" s="94"/>
    </row>
    <row r="70" spans="1:16" x14ac:dyDescent="0.25">
      <c r="A70" s="95"/>
      <c r="B70" s="52" t="s">
        <v>625</v>
      </c>
      <c r="C70" s="52" t="s">
        <v>626</v>
      </c>
      <c r="D70" s="50"/>
      <c r="E70" s="56">
        <f>F70 + G70 + H70</f>
        <v>0</v>
      </c>
      <c r="F70" s="57">
        <f>D70 * 0.1259796557</f>
        <v>0</v>
      </c>
      <c r="G70" s="57">
        <f>D70 * 0.0016778406</f>
        <v>0</v>
      </c>
      <c r="H70" s="57">
        <f>D70 * 0.0038495909</f>
        <v>0</v>
      </c>
      <c r="P70" s="64" t="s">
        <v>671</v>
      </c>
    </row>
    <row r="71" spans="1:16" x14ac:dyDescent="0.25">
      <c r="A71" s="95"/>
      <c r="B71" s="52" t="s">
        <v>628</v>
      </c>
      <c r="C71" s="52" t="s">
        <v>626</v>
      </c>
      <c r="D71" s="50"/>
      <c r="E71" s="56">
        <f>F71 + G71 + H71</f>
        <v>0</v>
      </c>
      <c r="F71" s="57">
        <f>D71 * 0.1303821706</f>
        <v>0</v>
      </c>
      <c r="G71" s="57">
        <f>D71 * 0.0017364748</f>
        <v>0</v>
      </c>
      <c r="H71" s="57">
        <f>D71 * 0.0039841196</f>
        <v>0</v>
      </c>
      <c r="P71" s="64" t="s">
        <v>672</v>
      </c>
    </row>
    <row r="72" spans="1:16" x14ac:dyDescent="0.25">
      <c r="A72" s="95"/>
      <c r="B72" s="52" t="s">
        <v>630</v>
      </c>
      <c r="C72" s="52" t="s">
        <v>626</v>
      </c>
      <c r="D72" s="50"/>
      <c r="E72" s="56">
        <f>F72 + G72 + H72</f>
        <v>0</v>
      </c>
      <c r="F72" s="57">
        <f>D72 * 0.1468069375</f>
        <v>0</v>
      </c>
      <c r="G72" s="57">
        <f>D72 * 0.0019552255</f>
        <v>0</v>
      </c>
      <c r="H72" s="57">
        <f>D72 * 0.0044860152</f>
        <v>0</v>
      </c>
      <c r="P72" s="64" t="s">
        <v>673</v>
      </c>
    </row>
    <row r="73" spans="1:16" x14ac:dyDescent="0.25">
      <c r="A73" s="95"/>
      <c r="B73" s="52" t="s">
        <v>640</v>
      </c>
      <c r="C73" s="52" t="s">
        <v>626</v>
      </c>
      <c r="D73" s="50"/>
      <c r="E73" s="56">
        <f>F73 + G73 + H73</f>
        <v>0</v>
      </c>
      <c r="F73" s="57">
        <f>D73 * 0.163062377</f>
        <v>0</v>
      </c>
      <c r="G73" s="57">
        <f>D73 * 0.0021717211</f>
        <v>0</v>
      </c>
      <c r="H73" s="57">
        <f>D73 * 0.0049827366</f>
        <v>0</v>
      </c>
      <c r="P73" s="64" t="s">
        <v>674</v>
      </c>
    </row>
    <row r="74" spans="1:16" x14ac:dyDescent="0.25">
      <c r="A74" s="95"/>
      <c r="B74" s="52" t="s">
        <v>634</v>
      </c>
      <c r="C74" s="52" t="s">
        <v>626</v>
      </c>
      <c r="D74" s="50"/>
      <c r="E74" s="56">
        <f>F74 + G74 + H74</f>
        <v>0</v>
      </c>
      <c r="F74" s="57">
        <f>D74 * 0.1950652734</f>
        <v>0</v>
      </c>
      <c r="G74" s="57">
        <f>D74 * 0.0025979467</f>
        <v>0</v>
      </c>
      <c r="H74" s="57">
        <f>D74 * 0.0059606569</f>
        <v>0</v>
      </c>
      <c r="P74" s="64" t="s">
        <v>675</v>
      </c>
    </row>
    <row r="75" spans="1:16" x14ac:dyDescent="0.25">
      <c r="A75" s="95"/>
      <c r="B75" s="94" t="s">
        <v>649</v>
      </c>
      <c r="C75" s="94"/>
      <c r="D75" s="94"/>
      <c r="E75" s="94"/>
      <c r="F75" s="94"/>
      <c r="G75" s="94"/>
      <c r="H75" s="94"/>
    </row>
    <row r="76" spans="1:16" x14ac:dyDescent="0.25">
      <c r="A76" s="95"/>
      <c r="B76" s="52" t="s">
        <v>625</v>
      </c>
      <c r="C76" s="52" t="s">
        <v>626</v>
      </c>
      <c r="D76" s="50"/>
      <c r="E76" s="56">
        <f>F76 + G76 + H76</f>
        <v>0</v>
      </c>
      <c r="F76" s="57">
        <f>D76 * 0.1651203343</f>
        <v>0</v>
      </c>
      <c r="G76" s="57">
        <f>D76 * 0.0002476501</f>
        <v>0</v>
      </c>
      <c r="H76" s="57">
        <f>D76 * 0.0023438309</f>
        <v>0</v>
      </c>
      <c r="P76" s="64" t="s">
        <v>676</v>
      </c>
    </row>
    <row r="77" spans="1:16" x14ac:dyDescent="0.25">
      <c r="A77" s="95"/>
      <c r="B77" s="52" t="s">
        <v>628</v>
      </c>
      <c r="C77" s="52" t="s">
        <v>626</v>
      </c>
      <c r="D77" s="50"/>
      <c r="E77" s="56">
        <f>F77 + G77 + H77</f>
        <v>0</v>
      </c>
      <c r="F77" s="57">
        <f>D77 * 0.158897575</f>
        <v>0</v>
      </c>
      <c r="G77" s="57">
        <f>D77 * 0.0002383171</f>
        <v>0</v>
      </c>
      <c r="H77" s="57">
        <f>D77 * 0.0022555008</f>
        <v>0</v>
      </c>
      <c r="P77" s="64" t="s">
        <v>677</v>
      </c>
    </row>
    <row r="78" spans="1:16" x14ac:dyDescent="0.25">
      <c r="A78" s="95"/>
      <c r="B78" s="52" t="s">
        <v>630</v>
      </c>
      <c r="C78" s="52" t="s">
        <v>626</v>
      </c>
      <c r="D78" s="50"/>
      <c r="E78" s="56">
        <f>F78 + G78 + H78</f>
        <v>0</v>
      </c>
      <c r="F78" s="57">
        <f>D78 * 0.1684129206</f>
        <v>0</v>
      </c>
      <c r="G78" s="57">
        <f>D78 * 0.0002525883</f>
        <v>0</v>
      </c>
      <c r="H78" s="57">
        <f>D78 * 0.0023905682</f>
        <v>0</v>
      </c>
      <c r="P78" s="64" t="s">
        <v>678</v>
      </c>
    </row>
    <row r="79" spans="1:16" x14ac:dyDescent="0.25">
      <c r="A79" s="95"/>
      <c r="B79" s="52" t="s">
        <v>640</v>
      </c>
      <c r="C79" s="52" t="s">
        <v>626</v>
      </c>
      <c r="D79" s="50"/>
      <c r="E79" s="56">
        <f>F79 + G79 + H79</f>
        <v>0</v>
      </c>
      <c r="F79" s="57">
        <f>D79 * 0.2070429492</f>
        <v>0</v>
      </c>
      <c r="G79" s="57">
        <f>D79 * 0.0003105263</f>
        <v>0</v>
      </c>
      <c r="H79" s="57">
        <f>D79 * 0.0029389092</f>
        <v>0</v>
      </c>
      <c r="P79" s="64" t="s">
        <v>679</v>
      </c>
    </row>
    <row r="80" spans="1:16" x14ac:dyDescent="0.25">
      <c r="A80" s="95"/>
      <c r="B80" s="52" t="s">
        <v>634</v>
      </c>
      <c r="C80" s="52" t="s">
        <v>626</v>
      </c>
      <c r="D80" s="50"/>
      <c r="E80" s="56">
        <f>F80 + G80 + H80</f>
        <v>0</v>
      </c>
      <c r="F80" s="57">
        <f>D80 * 0.2296661461</f>
        <v>0</v>
      </c>
      <c r="G80" s="57">
        <f>D80 * 0.0003444569</f>
        <v>0</v>
      </c>
      <c r="H80" s="57">
        <f>D80 * 0.0032600383</f>
        <v>0</v>
      </c>
      <c r="P80" s="64" t="s">
        <v>680</v>
      </c>
    </row>
    <row r="81" spans="1:16" x14ac:dyDescent="0.25">
      <c r="A81" s="95"/>
      <c r="B81" s="94" t="s">
        <v>681</v>
      </c>
      <c r="C81" s="94"/>
      <c r="D81" s="94"/>
      <c r="E81" s="94"/>
      <c r="F81" s="94"/>
      <c r="G81" s="94"/>
      <c r="H81" s="94"/>
    </row>
    <row r="82" spans="1:16" x14ac:dyDescent="0.25">
      <c r="A82" s="95"/>
      <c r="B82" s="52" t="s">
        <v>625</v>
      </c>
      <c r="C82" s="52" t="s">
        <v>626</v>
      </c>
      <c r="D82" s="50"/>
      <c r="E82" s="56">
        <f>F82 + G82 + H82</f>
        <v>0</v>
      </c>
      <c r="F82" s="57">
        <f>D82 * 0.0659293532</f>
        <v>0</v>
      </c>
      <c r="G82" s="57">
        <f>D82 * 0.0008780699</f>
        <v>0</v>
      </c>
      <c r="H82" s="57">
        <f>D82 * 0.0020146192</f>
        <v>0</v>
      </c>
      <c r="P82" s="64" t="s">
        <v>682</v>
      </c>
    </row>
    <row r="83" spans="1:16" x14ac:dyDescent="0.25">
      <c r="A83" s="95"/>
      <c r="B83" s="52" t="s">
        <v>628</v>
      </c>
      <c r="C83" s="52" t="s">
        <v>626</v>
      </c>
      <c r="D83" s="50"/>
      <c r="E83" s="56">
        <f>F83 + G83 + H83</f>
        <v>0</v>
      </c>
      <c r="F83" s="57">
        <f>D83 * 0.0682333359</f>
        <v>0</v>
      </c>
      <c r="G83" s="57">
        <f>D83 * 0.0009087551</f>
        <v>0</v>
      </c>
      <c r="H83" s="57">
        <f>D83 * 0.0020850226</f>
        <v>0</v>
      </c>
      <c r="P83" s="64" t="s">
        <v>683</v>
      </c>
    </row>
    <row r="84" spans="1:16" x14ac:dyDescent="0.25">
      <c r="A84" s="95"/>
      <c r="B84" s="52" t="s">
        <v>630</v>
      </c>
      <c r="C84" s="52" t="s">
        <v>626</v>
      </c>
      <c r="D84" s="50"/>
      <c r="E84" s="56">
        <f>F84 + G84 + H84</f>
        <v>0</v>
      </c>
      <c r="F84" s="57">
        <f>D84 * 0.076828964</f>
        <v>0</v>
      </c>
      <c r="G84" s="57">
        <f>D84 * 0.0010232347</f>
        <v>0</v>
      </c>
      <c r="H84" s="57">
        <f>D84 * 0.0023476813</f>
        <v>0</v>
      </c>
      <c r="P84" s="64" t="s">
        <v>684</v>
      </c>
    </row>
    <row r="85" spans="1:16" x14ac:dyDescent="0.25">
      <c r="A85" s="95"/>
      <c r="B85" s="52" t="s">
        <v>640</v>
      </c>
      <c r="C85" s="52" t="s">
        <v>626</v>
      </c>
      <c r="D85" s="50"/>
      <c r="E85" s="56">
        <f>F85 + G85 + H85</f>
        <v>0</v>
      </c>
      <c r="F85" s="57">
        <f>D85 * 0.0853359773</f>
        <v>0</v>
      </c>
      <c r="G85" s="57">
        <f>D85 * 0.001136534</f>
        <v>0</v>
      </c>
      <c r="H85" s="57">
        <f>D85 * 0.0026076322</f>
        <v>0</v>
      </c>
      <c r="P85" s="64" t="s">
        <v>685</v>
      </c>
    </row>
    <row r="86" spans="1:16" x14ac:dyDescent="0.25">
      <c r="A86" s="95"/>
      <c r="B86" s="52" t="s">
        <v>634</v>
      </c>
      <c r="C86" s="52" t="s">
        <v>626</v>
      </c>
      <c r="D86" s="50"/>
      <c r="E86" s="56">
        <f>F86 + G86 + H86</f>
        <v>0</v>
      </c>
      <c r="F86" s="57">
        <f>D86 * 0.1020841598</f>
        <v>0</v>
      </c>
      <c r="G86" s="57">
        <f>D86 * 0.0013595921</f>
        <v>0</v>
      </c>
      <c r="H86" s="57">
        <f>D86 * 0.0031194104</f>
        <v>0</v>
      </c>
      <c r="P86" s="64" t="s">
        <v>686</v>
      </c>
    </row>
    <row r="87" spans="1:16" x14ac:dyDescent="0.25">
      <c r="A87" s="95"/>
      <c r="B87" s="94" t="s">
        <v>687</v>
      </c>
      <c r="C87" s="94"/>
      <c r="D87" s="94"/>
      <c r="E87" s="94"/>
      <c r="F87" s="94"/>
      <c r="G87" s="94"/>
      <c r="H87" s="94"/>
    </row>
    <row r="88" spans="1:16" x14ac:dyDescent="0.25">
      <c r="A88" s="95"/>
      <c r="B88" s="52" t="s">
        <v>625</v>
      </c>
      <c r="C88" s="52" t="s">
        <v>626</v>
      </c>
      <c r="D88" s="53"/>
      <c r="E88" s="56">
        <f>F88 + G88 + H88</f>
        <v>0</v>
      </c>
      <c r="F88" s="57">
        <f>D88 * 0.006702869</f>
        <v>0</v>
      </c>
      <c r="G88" s="57">
        <f>D88 * 0.0002480577</f>
        <v>0</v>
      </c>
      <c r="H88" s="57">
        <f>D88 * 0.0000072565</f>
        <v>0</v>
      </c>
      <c r="P88" s="64" t="s">
        <v>688</v>
      </c>
    </row>
    <row r="89" spans="1:16" x14ac:dyDescent="0.25">
      <c r="A89" s="95"/>
      <c r="B89" s="52" t="s">
        <v>628</v>
      </c>
      <c r="C89" s="52" t="s">
        <v>626</v>
      </c>
      <c r="D89" s="50"/>
      <c r="E89" s="56">
        <f>F89 + G89 + H89</f>
        <v>0</v>
      </c>
      <c r="F89" s="57">
        <f>D89 * 0.006937109</f>
        <v>0</v>
      </c>
      <c r="G89" s="57">
        <f>D89 * 0.0002567264</f>
        <v>0</v>
      </c>
      <c r="H89" s="57">
        <f>D89 * 0.0000075101</f>
        <v>0</v>
      </c>
      <c r="P89" s="64" t="s">
        <v>689</v>
      </c>
    </row>
    <row r="90" spans="1:16" x14ac:dyDescent="0.25">
      <c r="A90" s="95"/>
      <c r="B90" s="52" t="s">
        <v>630</v>
      </c>
      <c r="C90" s="52" t="s">
        <v>626</v>
      </c>
      <c r="D90" s="50"/>
      <c r="E90" s="56">
        <f>F90 + G90 + H90</f>
        <v>0</v>
      </c>
      <c r="F90" s="57">
        <f>D90 * 0.0078110046</f>
        <v>0</v>
      </c>
      <c r="G90" s="57">
        <f>D90 * 0.0002890673</f>
        <v>0</v>
      </c>
      <c r="H90" s="57">
        <f>D90 * 0.0000084562</f>
        <v>0</v>
      </c>
      <c r="P90" s="64" t="s">
        <v>690</v>
      </c>
    </row>
    <row r="91" spans="1:16" x14ac:dyDescent="0.25">
      <c r="A91" s="95"/>
      <c r="B91" s="52" t="s">
        <v>640</v>
      </c>
      <c r="C91" s="52" t="s">
        <v>626</v>
      </c>
      <c r="D91" s="50"/>
      <c r="E91" s="56">
        <f>F91 + G91 + H91</f>
        <v>0</v>
      </c>
      <c r="F91" s="57">
        <f>D91 * 0.0086758909</f>
        <v>0</v>
      </c>
      <c r="G91" s="57">
        <f>D91 * 0.0003210747</f>
        <v>0</v>
      </c>
      <c r="H91" s="57">
        <f>D91 * 0.0000093925</f>
        <v>0</v>
      </c>
      <c r="P91" s="64" t="s">
        <v>691</v>
      </c>
    </row>
    <row r="92" spans="1:16" x14ac:dyDescent="0.25">
      <c r="A92" s="95"/>
      <c r="B92" s="52" t="s">
        <v>634</v>
      </c>
      <c r="C92" s="52" t="s">
        <v>626</v>
      </c>
      <c r="D92" s="50"/>
      <c r="E92" s="56">
        <f>F92 + G92 + H92</f>
        <v>0</v>
      </c>
      <c r="F92" s="57">
        <f>D92 * 0.0103786359</f>
        <v>0</v>
      </c>
      <c r="G92" s="57">
        <f>D92 * 0.0003840894</f>
        <v>0</v>
      </c>
      <c r="H92" s="57">
        <f>D92 * 0.0000112359</f>
        <v>0</v>
      </c>
      <c r="P92" s="64" t="s">
        <v>692</v>
      </c>
    </row>
    <row r="93" spans="1:16" x14ac:dyDescent="0.25">
      <c r="A93" s="95"/>
      <c r="B93" s="94" t="s">
        <v>693</v>
      </c>
      <c r="C93" s="94"/>
      <c r="D93" s="94"/>
      <c r="E93" s="94"/>
      <c r="F93" s="94"/>
      <c r="G93" s="94"/>
      <c r="H93" s="94"/>
    </row>
    <row r="94" spans="1:16" x14ac:dyDescent="0.25">
      <c r="A94" s="95"/>
      <c r="B94" s="52" t="s">
        <v>625</v>
      </c>
      <c r="C94" s="52" t="s">
        <v>626</v>
      </c>
      <c r="D94" s="50"/>
      <c r="E94" s="56">
        <f>F94 + G94 + H94</f>
        <v>0</v>
      </c>
      <c r="F94" s="57">
        <f>D94 * 0.086412975</f>
        <v>0</v>
      </c>
      <c r="G94" s="57">
        <f>D94 * 0.0001296035</f>
        <v>0</v>
      </c>
      <c r="H94" s="57">
        <f>D94 * 0.0012266049</f>
        <v>0</v>
      </c>
      <c r="P94" s="64" t="s">
        <v>694</v>
      </c>
    </row>
    <row r="95" spans="1:16" x14ac:dyDescent="0.25">
      <c r="A95" s="95"/>
      <c r="B95" s="52" t="s">
        <v>628</v>
      </c>
      <c r="C95" s="52" t="s">
        <v>626</v>
      </c>
      <c r="D95" s="50"/>
      <c r="E95" s="56">
        <f>F95 + G95 + H95</f>
        <v>0</v>
      </c>
      <c r="F95" s="57">
        <f>D95 * 0.0831563976</f>
        <v>0</v>
      </c>
      <c r="G95" s="57">
        <f>D95 * 0.0001247193</f>
        <v>0</v>
      </c>
      <c r="H95" s="57">
        <f>D95 * 0.0011803788</f>
        <v>0</v>
      </c>
      <c r="P95" s="64" t="s">
        <v>695</v>
      </c>
    </row>
    <row r="96" spans="1:16" x14ac:dyDescent="0.25">
      <c r="A96" s="95"/>
      <c r="B96" s="52" t="s">
        <v>630</v>
      </c>
      <c r="C96" s="52" t="s">
        <v>626</v>
      </c>
      <c r="D96" s="50"/>
      <c r="E96" s="56">
        <f>F96 + G96 + H96</f>
        <v>0</v>
      </c>
      <c r="F96" s="57">
        <f>D96 * 0.0881360951</f>
        <v>0</v>
      </c>
      <c r="G96" s="57">
        <f>D96 * 0.0001321879</f>
        <v>0</v>
      </c>
      <c r="H96" s="57">
        <f>D96 * 0.001251064</f>
        <v>0</v>
      </c>
      <c r="P96" s="64" t="s">
        <v>696</v>
      </c>
    </row>
    <row r="97" spans="1:16" x14ac:dyDescent="0.25">
      <c r="A97" s="95"/>
      <c r="B97" s="52" t="s">
        <v>640</v>
      </c>
      <c r="C97" s="52" t="s">
        <v>626</v>
      </c>
      <c r="D97" s="50"/>
      <c r="E97" s="56">
        <f>F97 + G97 + H97</f>
        <v>0</v>
      </c>
      <c r="F97" s="57">
        <f>D97 * 0.1083524768</f>
        <v>0</v>
      </c>
      <c r="G97" s="57">
        <f>D97 * 0.0001625087</f>
        <v>0</v>
      </c>
      <c r="H97" s="57">
        <f>D97 * 0.0015380291</f>
        <v>0</v>
      </c>
      <c r="P97" s="64" t="s">
        <v>697</v>
      </c>
    </row>
    <row r="98" spans="1:16" x14ac:dyDescent="0.25">
      <c r="A98" s="95"/>
      <c r="B98" s="52" t="s">
        <v>634</v>
      </c>
      <c r="C98" s="52" t="s">
        <v>626</v>
      </c>
      <c r="D98" s="50"/>
      <c r="E98" s="56">
        <f>F98 + G98 + H98</f>
        <v>0</v>
      </c>
      <c r="F98" s="57">
        <f>D98 * 0.1201919498</f>
        <v>0</v>
      </c>
      <c r="G98" s="57">
        <f>D98 * 0.0001802658</f>
        <v>0</v>
      </c>
      <c r="H98" s="57">
        <f>D98 * 0.0017060867</f>
        <v>0</v>
      </c>
      <c r="P98" s="64" t="s">
        <v>698</v>
      </c>
    </row>
    <row r="99" spans="1:16" x14ac:dyDescent="0.25">
      <c r="A99" s="95"/>
      <c r="B99" s="94" t="s">
        <v>699</v>
      </c>
      <c r="C99" s="94"/>
      <c r="D99" s="94"/>
      <c r="E99" s="94"/>
      <c r="F99" s="94"/>
      <c r="G99" s="94"/>
      <c r="H99" s="94"/>
    </row>
    <row r="100" spans="1:16" x14ac:dyDescent="0.25">
      <c r="A100" s="95"/>
      <c r="B100" s="52" t="s">
        <v>625</v>
      </c>
      <c r="C100" s="52" t="s">
        <v>626</v>
      </c>
      <c r="D100" s="50"/>
      <c r="E100" s="56">
        <f>F100 + G100 + H100</f>
        <v>0</v>
      </c>
      <c r="F100" s="57">
        <f>D100 * 0.0073107219</f>
        <v>0</v>
      </c>
      <c r="G100" s="57">
        <f>D100 * 0.000270553</f>
        <v>0</v>
      </c>
      <c r="H100" s="57">
        <f>D100 * 0.0000079146</f>
        <v>0</v>
      </c>
      <c r="P100" s="64" t="s">
        <v>700</v>
      </c>
    </row>
    <row r="101" spans="1:16" x14ac:dyDescent="0.25">
      <c r="A101" s="95"/>
      <c r="B101" s="52" t="s">
        <v>628</v>
      </c>
      <c r="C101" s="52" t="s">
        <v>626</v>
      </c>
      <c r="D101" s="50"/>
      <c r="E101" s="56">
        <f>F101 + G101 + H101</f>
        <v>0</v>
      </c>
      <c r="F101" s="57">
        <f>D101 * 0.0070217057</f>
        <v>0</v>
      </c>
      <c r="G101" s="57">
        <f>D101 * 0.0002598571</f>
        <v>0</v>
      </c>
      <c r="H101" s="57">
        <f>D101 * 0.0000076017</f>
        <v>0</v>
      </c>
      <c r="P101" s="64" t="s">
        <v>701</v>
      </c>
    </row>
    <row r="102" spans="1:16" x14ac:dyDescent="0.25">
      <c r="A102" s="95"/>
      <c r="B102" s="52" t="s">
        <v>630</v>
      </c>
      <c r="C102" s="52" t="s">
        <v>626</v>
      </c>
      <c r="D102" s="50"/>
      <c r="E102" s="56">
        <f>F102 + G102 + H102</f>
        <v>0</v>
      </c>
      <c r="F102" s="57">
        <f>D102 * 0.0076936143</f>
        <v>0</v>
      </c>
      <c r="G102" s="57">
        <f>D102 * 0.0002847229</f>
        <v>0</v>
      </c>
      <c r="H102" s="57">
        <f>D102 * 0.0000083291</f>
        <v>0</v>
      </c>
      <c r="P102" s="64" t="s">
        <v>702</v>
      </c>
    </row>
    <row r="103" spans="1:16" x14ac:dyDescent="0.25">
      <c r="A103" s="95"/>
      <c r="B103" s="52" t="s">
        <v>640</v>
      </c>
      <c r="C103" s="52" t="s">
        <v>626</v>
      </c>
      <c r="D103" s="50"/>
      <c r="E103" s="56">
        <f>F103 + G103 + H103</f>
        <v>0</v>
      </c>
      <c r="F103" s="57">
        <f>D103 * 0.0087080539</f>
        <v>0</v>
      </c>
      <c r="G103" s="57">
        <f>D103 * 0.000322265</f>
        <v>0</v>
      </c>
      <c r="H103" s="57">
        <f>D103 * 0.0000094274</f>
        <v>0</v>
      </c>
      <c r="P103" s="64" t="s">
        <v>703</v>
      </c>
    </row>
    <row r="104" spans="1:16" x14ac:dyDescent="0.25">
      <c r="A104" s="95"/>
      <c r="B104" s="52" t="s">
        <v>634</v>
      </c>
      <c r="C104" s="52" t="s">
        <v>626</v>
      </c>
      <c r="D104" s="50"/>
      <c r="E104" s="56">
        <f>F104 + G104 + H104</f>
        <v>0</v>
      </c>
      <c r="F104" s="57">
        <f>D104 * 0.0102993546</f>
        <v>0</v>
      </c>
      <c r="G104" s="57">
        <f>D104 * 0.0003811554</f>
        <v>0</v>
      </c>
      <c r="H104" s="57">
        <f>D104 * 0.0000111501</f>
        <v>0</v>
      </c>
      <c r="P104" s="64" t="s">
        <v>704</v>
      </c>
    </row>
    <row r="105" spans="1:16" x14ac:dyDescent="0.25">
      <c r="A105" s="95"/>
      <c r="B105" s="94" t="s">
        <v>705</v>
      </c>
      <c r="C105" s="94"/>
      <c r="D105" s="94"/>
      <c r="E105" s="94"/>
      <c r="F105" s="94"/>
      <c r="G105" s="94"/>
      <c r="H105" s="94"/>
    </row>
    <row r="106" spans="1:16" x14ac:dyDescent="0.25">
      <c r="A106" s="95"/>
      <c r="B106" s="52" t="s">
        <v>625</v>
      </c>
      <c r="C106" s="52" t="s">
        <v>626</v>
      </c>
      <c r="D106" s="50"/>
      <c r="E106" s="56">
        <f>F106 + G106 + H106</f>
        <v>0</v>
      </c>
      <c r="F106" s="57">
        <f>D106 * 0.0140619629</f>
        <v>0</v>
      </c>
      <c r="G106" s="57">
        <f>D106 * 0.0005204008</f>
        <v>0</v>
      </c>
      <c r="H106" s="57">
        <f>D106 * 0.0000152235</f>
        <v>0</v>
      </c>
      <c r="P106" s="64" t="s">
        <v>706</v>
      </c>
    </row>
    <row r="107" spans="1:16" x14ac:dyDescent="0.25">
      <c r="A107" s="95"/>
      <c r="B107" s="52" t="s">
        <v>628</v>
      </c>
      <c r="C107" s="52" t="s">
        <v>626</v>
      </c>
      <c r="D107" s="50"/>
      <c r="E107" s="56">
        <f>F107 + G107 + H107</f>
        <v>0</v>
      </c>
      <c r="F107" s="57">
        <f>D107 * 0.0145533756</f>
        <v>0</v>
      </c>
      <c r="G107" s="57">
        <f>D107 * 0.0005385869</f>
        <v>0</v>
      </c>
      <c r="H107" s="57">
        <f>D107 * 0.0000157555</f>
        <v>0</v>
      </c>
      <c r="P107" s="64" t="s">
        <v>707</v>
      </c>
    </row>
    <row r="108" spans="1:16" x14ac:dyDescent="0.25">
      <c r="A108" s="95"/>
      <c r="B108" s="52" t="s">
        <v>630</v>
      </c>
      <c r="C108" s="52" t="s">
        <v>626</v>
      </c>
      <c r="D108" s="50"/>
      <c r="E108" s="56">
        <f>F108 + G108 + H108</f>
        <v>0</v>
      </c>
      <c r="F108" s="57">
        <f>D108 * 0.0163867229</f>
        <v>0</v>
      </c>
      <c r="G108" s="57">
        <f>D108 * 0.0006064349</f>
        <v>0</v>
      </c>
      <c r="H108" s="57">
        <f>D108 * 0.0000177403</f>
        <v>0</v>
      </c>
      <c r="P108" s="64" t="s">
        <v>708</v>
      </c>
    </row>
    <row r="109" spans="1:16" x14ac:dyDescent="0.25">
      <c r="A109" s="95"/>
      <c r="B109" s="52" t="s">
        <v>640</v>
      </c>
      <c r="C109" s="52" t="s">
        <v>626</v>
      </c>
      <c r="D109" s="50"/>
      <c r="E109" s="56">
        <f>F109 + G109 + H109</f>
        <v>0</v>
      </c>
      <c r="F109" s="57">
        <f>D109 * 0.0182011698</f>
        <v>0</v>
      </c>
      <c r="G109" s="57">
        <f>D109 * 0.0006735833</f>
        <v>0</v>
      </c>
      <c r="H109" s="57">
        <f>D109 * 0.0000197046</f>
        <v>0</v>
      </c>
      <c r="P109" s="64" t="s">
        <v>709</v>
      </c>
    </row>
    <row r="110" spans="1:16" x14ac:dyDescent="0.25">
      <c r="A110" s="95"/>
      <c r="B110" s="52" t="s">
        <v>634</v>
      </c>
      <c r="C110" s="52" t="s">
        <v>626</v>
      </c>
      <c r="D110" s="50"/>
      <c r="E110" s="56">
        <f>F110 + G110 + H110</f>
        <v>0</v>
      </c>
      <c r="F110" s="57">
        <f>D110 * 0.021773362</f>
        <v>0</v>
      </c>
      <c r="G110" s="57">
        <f>D110 * 0.000805782</f>
        <v>0</v>
      </c>
      <c r="H110" s="57">
        <f>D110 * 0.0000235719</f>
        <v>0</v>
      </c>
      <c r="P110" s="64" t="s">
        <v>710</v>
      </c>
    </row>
    <row r="111" spans="1:16" x14ac:dyDescent="0.25">
      <c r="A111" s="95"/>
      <c r="B111" s="94" t="s">
        <v>655</v>
      </c>
      <c r="C111" s="94"/>
      <c r="D111" s="94"/>
      <c r="E111" s="94"/>
      <c r="F111" s="94"/>
      <c r="G111" s="94"/>
      <c r="H111" s="94"/>
    </row>
    <row r="112" spans="1:16" x14ac:dyDescent="0.25">
      <c r="A112" s="95"/>
      <c r="B112" s="52" t="s">
        <v>656</v>
      </c>
      <c r="C112" s="52" t="s">
        <v>626</v>
      </c>
      <c r="D112" s="50"/>
      <c r="E112" s="56">
        <f>F112 + G112 + H112</f>
        <v>0</v>
      </c>
      <c r="F112" s="57">
        <f>D112 * 0.0560194265</f>
        <v>0</v>
      </c>
      <c r="G112" s="57">
        <f>D112 * 0.0007460861</f>
        <v>0</v>
      </c>
      <c r="H112" s="57">
        <f>D112 * 0.0017117992</f>
        <v>0</v>
      </c>
      <c r="P112" s="64" t="s">
        <v>711</v>
      </c>
    </row>
    <row r="113" spans="1:16" x14ac:dyDescent="0.25">
      <c r="A113" s="95"/>
      <c r="B113" s="52" t="s">
        <v>658</v>
      </c>
      <c r="C113" s="52" t="s">
        <v>626</v>
      </c>
      <c r="D113" s="50"/>
      <c r="E113" s="56">
        <f>F113 + G113 + H113</f>
        <v>0</v>
      </c>
      <c r="F113" s="57">
        <f>D113 * 0.1120388529</f>
        <v>0</v>
      </c>
      <c r="G113" s="57">
        <f>D113 * 0.0014921721</f>
        <v>0</v>
      </c>
      <c r="H113" s="57">
        <f>D113 * 0.0034235984</f>
        <v>0</v>
      </c>
      <c r="P113" s="64" t="s">
        <v>712</v>
      </c>
    </row>
    <row r="114" spans="1:16" x14ac:dyDescent="0.25">
      <c r="A114" s="95"/>
      <c r="B114" s="52" t="s">
        <v>713</v>
      </c>
      <c r="C114" s="52" t="s">
        <v>626</v>
      </c>
      <c r="D114" s="50"/>
      <c r="E114" s="56">
        <f>F114 + G114 + H114</f>
        <v>0</v>
      </c>
      <c r="F114" s="57">
        <f>D114 * 0.0034574329</f>
        <v>0</v>
      </c>
      <c r="G114" s="57">
        <f>D114 * 0.0001279516</f>
        <v>0</v>
      </c>
      <c r="H114" s="57">
        <f>D114 * 0.000003743</f>
        <v>0</v>
      </c>
      <c r="P114" s="64" t="s">
        <v>714</v>
      </c>
    </row>
    <row r="115" spans="1:16" x14ac:dyDescent="0.25">
      <c r="A115" s="95"/>
      <c r="B115" s="52" t="s">
        <v>715</v>
      </c>
      <c r="C115" s="52" t="s">
        <v>626</v>
      </c>
      <c r="D115" s="50"/>
      <c r="E115" s="56">
        <f>F115 + G115 + H115</f>
        <v>0</v>
      </c>
      <c r="F115" s="57">
        <f>D115 * 0.0069148657</f>
        <v>0</v>
      </c>
      <c r="G115" s="57">
        <f>D115 * 0.0002559032</f>
        <v>0</v>
      </c>
      <c r="H115" s="57">
        <f>D115 * 0.000007486</f>
        <v>0</v>
      </c>
      <c r="P115" s="64" t="s">
        <v>716</v>
      </c>
    </row>
    <row r="116" spans="1:16" x14ac:dyDescent="0.25">
      <c r="D116" s="65" t="s">
        <v>116</v>
      </c>
      <c r="E116" s="56">
        <f>SUM(E57:E115)</f>
        <v>0</v>
      </c>
      <c r="F116" s="57">
        <f>SUM(F57:F115)</f>
        <v>0</v>
      </c>
      <c r="G116" s="57">
        <f>SUM(G57:G115)</f>
        <v>0</v>
      </c>
      <c r="H116" s="57">
        <f>SUM(H57:H115)</f>
        <v>0</v>
      </c>
    </row>
    <row r="118" spans="1:16" x14ac:dyDescent="0.25">
      <c r="A118" s="92" t="s">
        <v>622</v>
      </c>
      <c r="B118" s="92"/>
      <c r="C118" s="92"/>
      <c r="D118" s="92"/>
      <c r="E118" s="92"/>
      <c r="F118" s="92"/>
      <c r="G118" s="92"/>
      <c r="H118" s="92"/>
      <c r="I118" s="54"/>
    </row>
    <row r="119" spans="1:16" x14ac:dyDescent="0.25">
      <c r="A119" s="93" t="s">
        <v>717</v>
      </c>
      <c r="B119" s="93"/>
      <c r="C119" s="59" t="s">
        <v>61</v>
      </c>
      <c r="D119" s="60" t="s">
        <v>62</v>
      </c>
      <c r="E119" s="58" t="s">
        <v>63</v>
      </c>
      <c r="F119" s="58" t="s">
        <v>64</v>
      </c>
      <c r="G119" s="58" t="s">
        <v>65</v>
      </c>
      <c r="H119" s="58" t="s">
        <v>66</v>
      </c>
      <c r="P119" s="61" t="s">
        <v>68</v>
      </c>
    </row>
    <row r="120" spans="1:16" x14ac:dyDescent="0.25">
      <c r="A120" s="95" t="s">
        <v>60</v>
      </c>
      <c r="B120" s="94" t="s">
        <v>624</v>
      </c>
      <c r="C120" s="94"/>
      <c r="D120" s="94"/>
      <c r="E120" s="94"/>
      <c r="F120" s="94"/>
      <c r="G120" s="94"/>
      <c r="H120" s="94"/>
    </row>
    <row r="121" spans="1:16" x14ac:dyDescent="0.25">
      <c r="A121" s="95"/>
      <c r="B121" s="52" t="s">
        <v>625</v>
      </c>
      <c r="C121" s="52" t="s">
        <v>626</v>
      </c>
      <c r="D121" s="50"/>
      <c r="E121" s="56">
        <f>F121 + G121 + H121</f>
        <v>0</v>
      </c>
      <c r="F121" s="57">
        <f>D121 * 0.150499263</f>
        <v>0</v>
      </c>
      <c r="G121" s="57">
        <f>D121 * 0.0020044012</f>
        <v>0</v>
      </c>
      <c r="H121" s="57">
        <f>D121 * 0.0045988425</f>
        <v>0</v>
      </c>
      <c r="P121" s="64" t="s">
        <v>718</v>
      </c>
    </row>
    <row r="122" spans="1:16" x14ac:dyDescent="0.25">
      <c r="A122" s="95"/>
      <c r="B122" s="52" t="s">
        <v>628</v>
      </c>
      <c r="C122" s="52" t="s">
        <v>626</v>
      </c>
      <c r="D122" s="50"/>
      <c r="E122" s="56">
        <f>F122 + G122 + H122</f>
        <v>0</v>
      </c>
      <c r="F122" s="57">
        <f>D122 * 0.1557586459</f>
        <v>0</v>
      </c>
      <c r="G122" s="57">
        <f>D122 * 0.0020744474</f>
        <v>0</v>
      </c>
      <c r="H122" s="57">
        <f>D122 * 0.0047595547</f>
        <v>0</v>
      </c>
      <c r="P122" s="64" t="s">
        <v>719</v>
      </c>
    </row>
    <row r="123" spans="1:16" x14ac:dyDescent="0.25">
      <c r="A123" s="95"/>
      <c r="B123" s="52" t="s">
        <v>630</v>
      </c>
      <c r="C123" s="52" t="s">
        <v>626</v>
      </c>
      <c r="D123" s="50"/>
      <c r="E123" s="56">
        <f>F123 + G123 + H123</f>
        <v>0</v>
      </c>
      <c r="F123" s="57">
        <f>D123 * 0.1753801896</f>
        <v>0</v>
      </c>
      <c r="G123" s="57">
        <f>D123 * 0.0023357739</f>
        <v>0</v>
      </c>
      <c r="H123" s="57">
        <f>D123 * 0.005359135</f>
        <v>0</v>
      </c>
      <c r="P123" s="64" t="s">
        <v>720</v>
      </c>
    </row>
    <row r="124" spans="1:16" x14ac:dyDescent="0.25">
      <c r="A124" s="95"/>
      <c r="B124" s="52" t="s">
        <v>632</v>
      </c>
      <c r="C124" s="52" t="s">
        <v>626</v>
      </c>
      <c r="D124" s="50"/>
      <c r="E124" s="56">
        <f>F124 + G124 + H124</f>
        <v>0</v>
      </c>
      <c r="F124" s="57">
        <f>D124 * 0.1947994493</f>
        <v>0</v>
      </c>
      <c r="G124" s="57">
        <f>D124 * 0.0025944063</f>
        <v>0</v>
      </c>
      <c r="H124" s="57">
        <f>D124 * 0.005952534</f>
        <v>0</v>
      </c>
      <c r="P124" s="64" t="s">
        <v>721</v>
      </c>
    </row>
    <row r="125" spans="1:16" x14ac:dyDescent="0.25">
      <c r="A125" s="95"/>
      <c r="B125" s="52" t="s">
        <v>634</v>
      </c>
      <c r="C125" s="52" t="s">
        <v>626</v>
      </c>
      <c r="D125" s="50"/>
      <c r="E125" s="56">
        <f>F125 + G125 + H125</f>
        <v>0</v>
      </c>
      <c r="F125" s="57">
        <f>D125 * 0.233031117</f>
        <v>0</v>
      </c>
      <c r="G125" s="57">
        <f>D125 * 0.0031035889</f>
        <v>0</v>
      </c>
      <c r="H125" s="57">
        <f>D125 * 0.0071207884</f>
        <v>0</v>
      </c>
      <c r="P125" s="64" t="s">
        <v>722</v>
      </c>
    </row>
    <row r="126" spans="1:16" x14ac:dyDescent="0.25">
      <c r="A126" s="95"/>
      <c r="B126" s="94" t="s">
        <v>636</v>
      </c>
      <c r="C126" s="94"/>
      <c r="D126" s="94"/>
      <c r="E126" s="94"/>
      <c r="F126" s="94"/>
      <c r="G126" s="94"/>
      <c r="H126" s="94"/>
    </row>
    <row r="127" spans="1:16" x14ac:dyDescent="0.25">
      <c r="A127" s="95"/>
      <c r="B127" s="52" t="s">
        <v>625</v>
      </c>
      <c r="C127" s="52" t="s">
        <v>626</v>
      </c>
      <c r="D127" s="50"/>
      <c r="E127" s="56">
        <f>F127 + G127 + H127</f>
        <v>0</v>
      </c>
      <c r="F127" s="57">
        <f>D127 * 0.1754787578</f>
        <v>0</v>
      </c>
      <c r="G127" s="57">
        <f>D127 * 0.0002631858</f>
        <v>0</v>
      </c>
      <c r="H127" s="57">
        <f>D127 * 0.0024908655</f>
        <v>0</v>
      </c>
      <c r="P127" s="64" t="s">
        <v>723</v>
      </c>
    </row>
    <row r="128" spans="1:16" x14ac:dyDescent="0.25">
      <c r="A128" s="95"/>
      <c r="B128" s="52" t="s">
        <v>628</v>
      </c>
      <c r="C128" s="52" t="s">
        <v>626</v>
      </c>
      <c r="D128" s="50"/>
      <c r="E128" s="56">
        <f>F128 + G128 + H128</f>
        <v>0</v>
      </c>
      <c r="F128" s="57">
        <f>D128 * 0.1688656287</f>
        <v>0</v>
      </c>
      <c r="G128" s="57">
        <f>D128 * 0.0002532673</f>
        <v>0</v>
      </c>
      <c r="H128" s="57">
        <f>D128 * 0.0023969942</f>
        <v>0</v>
      </c>
      <c r="P128" s="64" t="s">
        <v>724</v>
      </c>
    </row>
    <row r="129" spans="1:16" x14ac:dyDescent="0.25">
      <c r="A129" s="95"/>
      <c r="B129" s="52" t="s">
        <v>630</v>
      </c>
      <c r="C129" s="52" t="s">
        <v>626</v>
      </c>
      <c r="D129" s="50"/>
      <c r="E129" s="56">
        <f>F129 + G129 + H129</f>
        <v>0</v>
      </c>
      <c r="F129" s="57">
        <f>D129 * 0.1789778964</f>
        <v>0</v>
      </c>
      <c r="G129" s="57">
        <f>D129 * 0.0002684338</f>
        <v>0</v>
      </c>
      <c r="H129" s="57">
        <f>D129 * 0.0025405346</f>
        <v>0</v>
      </c>
      <c r="P129" s="64" t="s">
        <v>725</v>
      </c>
    </row>
    <row r="130" spans="1:16" x14ac:dyDescent="0.25">
      <c r="A130" s="95"/>
      <c r="B130" s="52" t="s">
        <v>640</v>
      </c>
      <c r="C130" s="52" t="s">
        <v>626</v>
      </c>
      <c r="D130" s="50"/>
      <c r="E130" s="56">
        <f>F130 + G130 + H130</f>
        <v>0</v>
      </c>
      <c r="F130" s="57">
        <f>D130 * 0.2199206978</f>
        <v>0</v>
      </c>
      <c r="G130" s="57">
        <f>D130 * 0.0003298405</f>
        <v>0</v>
      </c>
      <c r="H130" s="57">
        <f>D130 * 0.0031217048</f>
        <v>0</v>
      </c>
      <c r="P130" s="64" t="s">
        <v>726</v>
      </c>
    </row>
    <row r="131" spans="1:16" x14ac:dyDescent="0.25">
      <c r="A131" s="95"/>
      <c r="B131" s="52" t="s">
        <v>634</v>
      </c>
      <c r="C131" s="52" t="s">
        <v>626</v>
      </c>
      <c r="D131" s="50"/>
      <c r="E131" s="56">
        <f>F131 + G131 + H131</f>
        <v>0</v>
      </c>
      <c r="F131" s="57">
        <f>D131 * 0.2439510223</f>
        <v>0</v>
      </c>
      <c r="G131" s="57">
        <f>D131 * 0.0003658816</f>
        <v>0</v>
      </c>
      <c r="H131" s="57">
        <f>D131 * 0.0034628076</f>
        <v>0</v>
      </c>
      <c r="P131" s="64" t="s">
        <v>727</v>
      </c>
    </row>
    <row r="132" spans="1:16" x14ac:dyDescent="0.25">
      <c r="A132" s="95"/>
      <c r="B132" s="94" t="s">
        <v>643</v>
      </c>
      <c r="C132" s="94"/>
      <c r="D132" s="94"/>
      <c r="E132" s="94"/>
      <c r="F132" s="94"/>
      <c r="G132" s="94"/>
      <c r="H132" s="94"/>
    </row>
    <row r="133" spans="1:16" x14ac:dyDescent="0.25">
      <c r="A133" s="95"/>
      <c r="B133" s="52" t="s">
        <v>625</v>
      </c>
      <c r="C133" s="52" t="s">
        <v>626</v>
      </c>
      <c r="D133" s="50"/>
      <c r="E133" s="56">
        <f>F133 + G133 + H133</f>
        <v>0</v>
      </c>
      <c r="F133" s="57">
        <f>D133 * 0.1188152077</f>
        <v>0</v>
      </c>
      <c r="G133" s="57">
        <f>D133 * 0.001582422</f>
        <v>0</v>
      </c>
      <c r="H133" s="57">
        <f>D133 * 0.0036306651</f>
        <v>0</v>
      </c>
      <c r="P133" s="64" t="s">
        <v>728</v>
      </c>
    </row>
    <row r="134" spans="1:16" x14ac:dyDescent="0.25">
      <c r="A134" s="95"/>
      <c r="B134" s="52" t="s">
        <v>628</v>
      </c>
      <c r="C134" s="52" t="s">
        <v>626</v>
      </c>
      <c r="D134" s="50"/>
      <c r="E134" s="56">
        <f>F134 + G134 + H134</f>
        <v>0</v>
      </c>
      <c r="F134" s="57">
        <f>D134 * 0.122967352</f>
        <v>0</v>
      </c>
      <c r="G134" s="57">
        <f>D134 * 0.0016377217</f>
        <v>0</v>
      </c>
      <c r="H134" s="57">
        <f>D134 * 0.0037575432</f>
        <v>0</v>
      </c>
      <c r="P134" s="64" t="s">
        <v>729</v>
      </c>
    </row>
    <row r="135" spans="1:16" x14ac:dyDescent="0.25">
      <c r="A135" s="95"/>
      <c r="B135" s="52" t="s">
        <v>630</v>
      </c>
      <c r="C135" s="52" t="s">
        <v>626</v>
      </c>
      <c r="D135" s="50"/>
      <c r="E135" s="56">
        <f>F135 + G135 + H135</f>
        <v>0</v>
      </c>
      <c r="F135" s="57">
        <f>D135 * 0.1384580444</f>
        <v>0</v>
      </c>
      <c r="G135" s="57">
        <f>D135 * 0.0018440321</f>
        <v>0</v>
      </c>
      <c r="H135" s="57">
        <f>D135 * 0.0042308961</f>
        <v>0</v>
      </c>
      <c r="P135" s="64" t="s">
        <v>730</v>
      </c>
    </row>
    <row r="136" spans="1:16" x14ac:dyDescent="0.25">
      <c r="A136" s="95"/>
      <c r="B136" s="52" t="s">
        <v>640</v>
      </c>
      <c r="C136" s="52" t="s">
        <v>626</v>
      </c>
      <c r="D136" s="50"/>
      <c r="E136" s="56">
        <f>F136 + G136 + H136</f>
        <v>0</v>
      </c>
      <c r="F136" s="57">
        <f>D136 * 0.1537890389</f>
        <v>0</v>
      </c>
      <c r="G136" s="57">
        <f>D136 * 0.0020482155</f>
        <v>0</v>
      </c>
      <c r="H136" s="57">
        <f>D136 * 0.004699369</f>
        <v>0</v>
      </c>
      <c r="P136" s="64" t="s">
        <v>731</v>
      </c>
    </row>
    <row r="137" spans="1:16" x14ac:dyDescent="0.25">
      <c r="A137" s="95"/>
      <c r="B137" s="52" t="s">
        <v>634</v>
      </c>
      <c r="C137" s="52" t="s">
        <v>626</v>
      </c>
      <c r="D137" s="50"/>
      <c r="E137" s="56">
        <f>F137 + G137 + H137</f>
        <v>0</v>
      </c>
      <c r="F137" s="57">
        <f>D137 * 0.1839719344</f>
        <v>0</v>
      </c>
      <c r="G137" s="57">
        <f>D137 * 0.0024502018</f>
        <v>0</v>
      </c>
      <c r="H137" s="57">
        <f>D137 * 0.005621675</f>
        <v>0</v>
      </c>
      <c r="P137" s="64" t="s">
        <v>732</v>
      </c>
    </row>
    <row r="138" spans="1:16" x14ac:dyDescent="0.25">
      <c r="A138" s="95"/>
      <c r="B138" s="94" t="s">
        <v>649</v>
      </c>
      <c r="C138" s="94"/>
      <c r="D138" s="94"/>
      <c r="E138" s="94"/>
      <c r="F138" s="94"/>
      <c r="G138" s="94"/>
      <c r="H138" s="94"/>
    </row>
    <row r="139" spans="1:16" x14ac:dyDescent="0.25">
      <c r="A139" s="95"/>
      <c r="B139" s="52" t="s">
        <v>625</v>
      </c>
      <c r="C139" s="52" t="s">
        <v>626</v>
      </c>
      <c r="D139" s="50"/>
      <c r="E139" s="56">
        <f>F139 + G139 + H139</f>
        <v>0</v>
      </c>
      <c r="F139" s="57">
        <f>D139 * 0.1557299605</f>
        <v>0</v>
      </c>
      <c r="G139" s="57">
        <f>D139 * 0.0002335662</f>
        <v>0</v>
      </c>
      <c r="H139" s="57">
        <f>D139 * 0.0022105375</f>
        <v>0</v>
      </c>
      <c r="P139" s="64" t="s">
        <v>733</v>
      </c>
    </row>
    <row r="140" spans="1:16" x14ac:dyDescent="0.25">
      <c r="A140" s="95"/>
      <c r="B140" s="52" t="s">
        <v>628</v>
      </c>
      <c r="C140" s="52" t="s">
        <v>626</v>
      </c>
      <c r="D140" s="50"/>
      <c r="E140" s="56">
        <f>F140 + G140 + H140</f>
        <v>0</v>
      </c>
      <c r="F140" s="57">
        <f>D140 * 0.1498610887</f>
        <v>0</v>
      </c>
      <c r="G140" s="57">
        <f>D140 * 0.000224764</f>
        <v>0</v>
      </c>
      <c r="H140" s="57">
        <f>D140 * 0.0021272308</f>
        <v>0</v>
      </c>
      <c r="P140" s="64" t="s">
        <v>734</v>
      </c>
    </row>
    <row r="141" spans="1:16" x14ac:dyDescent="0.25">
      <c r="A141" s="95"/>
      <c r="B141" s="52" t="s">
        <v>630</v>
      </c>
      <c r="C141" s="52" t="s">
        <v>626</v>
      </c>
      <c r="D141" s="50"/>
      <c r="E141" s="56">
        <f>F141 + G141 + H141</f>
        <v>0</v>
      </c>
      <c r="F141" s="57">
        <f>D141 * 0.1588352977</f>
        <v>0</v>
      </c>
      <c r="G141" s="57">
        <f>D141 * 0.0002382237</f>
        <v>0</v>
      </c>
      <c r="H141" s="57">
        <f>D141 * 0.0022546168</f>
        <v>0</v>
      </c>
      <c r="P141" s="64" t="s">
        <v>735</v>
      </c>
    </row>
    <row r="142" spans="1:16" x14ac:dyDescent="0.25">
      <c r="A142" s="95"/>
      <c r="B142" s="52" t="s">
        <v>640</v>
      </c>
      <c r="C142" s="52" t="s">
        <v>626</v>
      </c>
      <c r="D142" s="50"/>
      <c r="E142" s="56">
        <f>F142 + G142 + H142</f>
        <v>0</v>
      </c>
      <c r="F142" s="57">
        <f>D142 * 0.1952684412</f>
        <v>0</v>
      </c>
      <c r="G142" s="57">
        <f>D142 * 0.0002928667</f>
        <v>0</v>
      </c>
      <c r="H142" s="57">
        <f>D142 * 0.0027717738</f>
        <v>0</v>
      </c>
      <c r="P142" s="64" t="s">
        <v>736</v>
      </c>
    </row>
    <row r="143" spans="1:16" x14ac:dyDescent="0.25">
      <c r="A143" s="95"/>
      <c r="B143" s="52" t="s">
        <v>634</v>
      </c>
      <c r="C143" s="52" t="s">
        <v>626</v>
      </c>
      <c r="D143" s="50"/>
      <c r="E143" s="56">
        <f>F143 + G143 + H143</f>
        <v>0</v>
      </c>
      <c r="F143" s="57">
        <f>D143 * 0.2166050596</f>
        <v>0</v>
      </c>
      <c r="G143" s="57">
        <f>D143 * 0.0003248677</f>
        <v>0</v>
      </c>
      <c r="H143" s="57">
        <f>D143 * 0.0030746403</f>
        <v>0</v>
      </c>
      <c r="P143" s="64" t="s">
        <v>737</v>
      </c>
    </row>
    <row r="144" spans="1:16" x14ac:dyDescent="0.25">
      <c r="A144" s="95"/>
      <c r="B144" s="94" t="s">
        <v>681</v>
      </c>
      <c r="C144" s="94"/>
      <c r="D144" s="94"/>
      <c r="E144" s="94"/>
      <c r="F144" s="94"/>
      <c r="G144" s="94"/>
      <c r="H144" s="94"/>
    </row>
    <row r="145" spans="1:16" x14ac:dyDescent="0.25">
      <c r="A145" s="95"/>
      <c r="B145" s="52" t="s">
        <v>625</v>
      </c>
      <c r="C145" s="52" t="s">
        <v>626</v>
      </c>
      <c r="D145" s="50"/>
      <c r="E145" s="56">
        <f>F145 + G145 + H145</f>
        <v>0</v>
      </c>
      <c r="F145" s="57">
        <f>D145 * 0.0621799587</f>
        <v>0</v>
      </c>
      <c r="G145" s="57">
        <f>D145 * 0.0008281342</f>
        <v>0</v>
      </c>
      <c r="H145" s="57">
        <f>D145 * 0.0019000481</f>
        <v>0</v>
      </c>
      <c r="P145" s="64" t="s">
        <v>738</v>
      </c>
    </row>
    <row r="146" spans="1:16" x14ac:dyDescent="0.25">
      <c r="A146" s="95"/>
      <c r="B146" s="52" t="s">
        <v>628</v>
      </c>
      <c r="C146" s="52" t="s">
        <v>626</v>
      </c>
      <c r="D146" s="50"/>
      <c r="E146" s="56">
        <f>F146 + G146 + H146</f>
        <v>0</v>
      </c>
      <c r="F146" s="57">
        <f>D146 * 0.0643529142</f>
        <v>0</v>
      </c>
      <c r="G146" s="57">
        <f>D146 * 0.0008570743</f>
        <v>0</v>
      </c>
      <c r="H146" s="57">
        <f>D146 * 0.0019664476</f>
        <v>0</v>
      </c>
      <c r="P146" s="64" t="s">
        <v>739</v>
      </c>
    </row>
    <row r="147" spans="1:16" x14ac:dyDescent="0.25">
      <c r="A147" s="95"/>
      <c r="B147" s="52" t="s">
        <v>630</v>
      </c>
      <c r="C147" s="52" t="s">
        <v>626</v>
      </c>
      <c r="D147" s="50"/>
      <c r="E147" s="56">
        <f>F147 + G147 + H147</f>
        <v>0</v>
      </c>
      <c r="F147" s="57">
        <f>D147 * 0.0724597099</f>
        <v>0</v>
      </c>
      <c r="G147" s="57">
        <f>D147 * 0.0009650434</f>
        <v>0</v>
      </c>
      <c r="H147" s="57">
        <f>D147 * 0.0022141689</f>
        <v>0</v>
      </c>
      <c r="P147" s="64" t="s">
        <v>740</v>
      </c>
    </row>
    <row r="148" spans="1:16" x14ac:dyDescent="0.25">
      <c r="A148" s="95"/>
      <c r="B148" s="52" t="s">
        <v>640</v>
      </c>
      <c r="C148" s="52" t="s">
        <v>626</v>
      </c>
      <c r="D148" s="50"/>
      <c r="E148" s="56">
        <f>F148 + G148 + H148</f>
        <v>0</v>
      </c>
      <c r="F148" s="57">
        <f>D148 * 0.0804829304</f>
        <v>0</v>
      </c>
      <c r="G148" s="57">
        <f>D148 * 0.0010718995</f>
        <v>0</v>
      </c>
      <c r="H148" s="57">
        <f>D148 * 0.0024593364</f>
        <v>0</v>
      </c>
      <c r="P148" s="64" t="s">
        <v>741</v>
      </c>
    </row>
    <row r="149" spans="1:16" x14ac:dyDescent="0.25">
      <c r="A149" s="95"/>
      <c r="B149" s="52" t="s">
        <v>634</v>
      </c>
      <c r="C149" s="52" t="s">
        <v>626</v>
      </c>
      <c r="D149" s="50"/>
      <c r="E149" s="56">
        <f>F149 + G149 + H149</f>
        <v>0</v>
      </c>
      <c r="F149" s="57">
        <f>D149 * 0.0962786457</f>
        <v>0</v>
      </c>
      <c r="G149" s="57">
        <f>D149 * 0.0012822723</f>
        <v>0</v>
      </c>
      <c r="H149" s="57">
        <f>D149 * 0.0029420099</f>
        <v>0</v>
      </c>
      <c r="P149" s="64" t="s">
        <v>742</v>
      </c>
    </row>
    <row r="150" spans="1:16" x14ac:dyDescent="0.25">
      <c r="A150" s="95"/>
      <c r="B150" s="94" t="s">
        <v>687</v>
      </c>
      <c r="C150" s="94"/>
      <c r="D150" s="94"/>
      <c r="E150" s="94"/>
      <c r="F150" s="94"/>
      <c r="G150" s="94"/>
      <c r="H150" s="94"/>
    </row>
    <row r="151" spans="1:16" x14ac:dyDescent="0.25">
      <c r="A151" s="95"/>
      <c r="B151" s="52" t="s">
        <v>625</v>
      </c>
      <c r="C151" s="52" t="s">
        <v>626</v>
      </c>
      <c r="D151" s="50"/>
      <c r="E151" s="56">
        <f>F151 + G151 + H151</f>
        <v>0</v>
      </c>
      <c r="F151" s="57">
        <f>D151 * 0.0064126223</f>
        <v>0</v>
      </c>
      <c r="G151" s="57">
        <f>D151 * 0.0002373164</f>
        <v>0</v>
      </c>
      <c r="H151" s="57">
        <f>D151 * 0.0000069423</f>
        <v>0</v>
      </c>
      <c r="P151" s="64" t="s">
        <v>743</v>
      </c>
    </row>
    <row r="152" spans="1:16" x14ac:dyDescent="0.25">
      <c r="A152" s="95"/>
      <c r="B152" s="52" t="s">
        <v>628</v>
      </c>
      <c r="C152" s="52" t="s">
        <v>626</v>
      </c>
      <c r="D152" s="50"/>
      <c r="E152" s="56">
        <f>F152 + G152 + H152</f>
        <v>0</v>
      </c>
      <c r="F152" s="57">
        <f>D152 * 0.0066367193</f>
        <v>0</v>
      </c>
      <c r="G152" s="57">
        <f>D152 * 0.0002456097</f>
        <v>0</v>
      </c>
      <c r="H152" s="57">
        <f>D152 * 0.0000071849</f>
        <v>0</v>
      </c>
      <c r="P152" s="64" t="s">
        <v>744</v>
      </c>
    </row>
    <row r="153" spans="1:16" x14ac:dyDescent="0.25">
      <c r="A153" s="95"/>
      <c r="B153" s="52" t="s">
        <v>630</v>
      </c>
      <c r="C153" s="52" t="s">
        <v>626</v>
      </c>
      <c r="D153" s="50"/>
      <c r="E153" s="56">
        <f>F153 + G153 + H153</f>
        <v>0</v>
      </c>
      <c r="F153" s="57">
        <f>D153 * 0.0074727735</f>
        <v>0</v>
      </c>
      <c r="G153" s="57">
        <f>D153 * 0.0002765501</f>
        <v>0</v>
      </c>
      <c r="H153" s="57">
        <f>D153 * 0.00000809</f>
        <v>0</v>
      </c>
      <c r="P153" s="64" t="s">
        <v>745</v>
      </c>
    </row>
    <row r="154" spans="1:16" x14ac:dyDescent="0.25">
      <c r="A154" s="95"/>
      <c r="B154" s="52" t="s">
        <v>640</v>
      </c>
      <c r="C154" s="52" t="s">
        <v>626</v>
      </c>
      <c r="D154" s="50"/>
      <c r="E154" s="56">
        <f>F154 + G154 + H154</f>
        <v>0</v>
      </c>
      <c r="F154" s="57">
        <f>D154 * 0.0083002086</f>
        <v>0</v>
      </c>
      <c r="G154" s="57">
        <f>D154 * 0.0003071716</f>
        <v>0</v>
      </c>
      <c r="H154" s="57">
        <f>D154 * 0.0000089858</f>
        <v>0</v>
      </c>
      <c r="P154" s="64" t="s">
        <v>746</v>
      </c>
    </row>
    <row r="155" spans="1:16" x14ac:dyDescent="0.25">
      <c r="A155" s="95"/>
      <c r="B155" s="52" t="s">
        <v>634</v>
      </c>
      <c r="C155" s="52" t="s">
        <v>626</v>
      </c>
      <c r="D155" s="50"/>
      <c r="E155" s="56">
        <f>F155 + G155 + H155</f>
        <v>0</v>
      </c>
      <c r="F155" s="57">
        <f>D155 * 0.0099292216</f>
        <v>0</v>
      </c>
      <c r="G155" s="57">
        <f>D155 * 0.0003674576</f>
        <v>0</v>
      </c>
      <c r="H155" s="57">
        <f>D155 * 0.0000107494</f>
        <v>0</v>
      </c>
      <c r="P155" s="64" t="s">
        <v>747</v>
      </c>
    </row>
    <row r="156" spans="1:16" x14ac:dyDescent="0.25">
      <c r="A156" s="95"/>
      <c r="B156" s="94" t="s">
        <v>693</v>
      </c>
      <c r="C156" s="94"/>
      <c r="D156" s="94"/>
      <c r="E156" s="94"/>
      <c r="F156" s="94"/>
      <c r="G156" s="94"/>
      <c r="H156" s="94"/>
    </row>
    <row r="157" spans="1:16" x14ac:dyDescent="0.25">
      <c r="A157" s="95"/>
      <c r="B157" s="52" t="s">
        <v>625</v>
      </c>
      <c r="C157" s="52" t="s">
        <v>626</v>
      </c>
      <c r="D157" s="50"/>
      <c r="E157" s="56">
        <f>F157 + G157 + H157</f>
        <v>0</v>
      </c>
      <c r="F157" s="57">
        <f>D157 * 0.0814986793</f>
        <v>0</v>
      </c>
      <c r="G157" s="57">
        <f>D157 * 0.000122233</f>
        <v>0</v>
      </c>
      <c r="H157" s="57">
        <f>D157 * 0.001156848</f>
        <v>0</v>
      </c>
      <c r="P157" s="64" t="s">
        <v>748</v>
      </c>
    </row>
    <row r="158" spans="1:16" x14ac:dyDescent="0.25">
      <c r="A158" s="95"/>
      <c r="B158" s="52" t="s">
        <v>628</v>
      </c>
      <c r="C158" s="52" t="s">
        <v>626</v>
      </c>
      <c r="D158" s="50"/>
      <c r="E158" s="56">
        <f>F158 + G158 + H158</f>
        <v>0</v>
      </c>
      <c r="F158" s="57">
        <f>D158 * 0.0784273031</f>
        <v>0</v>
      </c>
      <c r="G158" s="57">
        <f>D158 * 0.0001176265</f>
        <v>0</v>
      </c>
      <c r="H158" s="57">
        <f>D158 * 0.0011132508</f>
        <v>0</v>
      </c>
      <c r="P158" s="64" t="s">
        <v>749</v>
      </c>
    </row>
    <row r="159" spans="1:16" x14ac:dyDescent="0.25">
      <c r="A159" s="95"/>
      <c r="B159" s="52" t="s">
        <v>630</v>
      </c>
      <c r="C159" s="52" t="s">
        <v>626</v>
      </c>
      <c r="D159" s="50"/>
      <c r="E159" s="56">
        <f>F159 + G159 + H159</f>
        <v>0</v>
      </c>
      <c r="F159" s="57">
        <f>D159 * 0.0831238058</f>
        <v>0</v>
      </c>
      <c r="G159" s="57">
        <f>D159 * 0.0001246704</f>
        <v>0</v>
      </c>
      <c r="H159" s="57">
        <f>D159 * 0.0011799161</f>
        <v>0</v>
      </c>
      <c r="P159" s="64" t="s">
        <v>750</v>
      </c>
    </row>
    <row r="160" spans="1:16" x14ac:dyDescent="0.25">
      <c r="A160" s="95"/>
      <c r="B160" s="52" t="s">
        <v>640</v>
      </c>
      <c r="C160" s="52" t="s">
        <v>626</v>
      </c>
      <c r="D160" s="50"/>
      <c r="E160" s="56">
        <f>F160 + G160 + H160</f>
        <v>0</v>
      </c>
      <c r="F160" s="57">
        <f>D160 * 0.1021904842</f>
        <v>0</v>
      </c>
      <c r="G160" s="57">
        <f>D160 * 0.0001532669</f>
        <v>0</v>
      </c>
      <c r="H160" s="57">
        <f>D160 * 0.0014505616</f>
        <v>0</v>
      </c>
      <c r="P160" s="64" t="s">
        <v>751</v>
      </c>
    </row>
    <row r="161" spans="1:16" x14ac:dyDescent="0.25">
      <c r="A161" s="95"/>
      <c r="B161" s="52" t="s">
        <v>634</v>
      </c>
      <c r="C161" s="52" t="s">
        <v>626</v>
      </c>
      <c r="D161" s="50"/>
      <c r="E161" s="56">
        <f>F161 + G161 + H161</f>
        <v>0</v>
      </c>
      <c r="F161" s="57">
        <f>D161 * 0.1133566479</f>
        <v>0</v>
      </c>
      <c r="G161" s="57">
        <f>D161 * 0.0001700141</f>
        <v>0</v>
      </c>
      <c r="H161" s="57">
        <f>D161 * 0.0016090618</f>
        <v>0</v>
      </c>
      <c r="P161" s="64" t="s">
        <v>752</v>
      </c>
    </row>
    <row r="162" spans="1:16" x14ac:dyDescent="0.25">
      <c r="A162" s="95"/>
      <c r="B162" s="94" t="s">
        <v>699</v>
      </c>
      <c r="C162" s="94"/>
      <c r="D162" s="94"/>
      <c r="E162" s="94"/>
      <c r="F162" s="94"/>
      <c r="G162" s="94"/>
      <c r="H162" s="94"/>
    </row>
    <row r="163" spans="1:16" x14ac:dyDescent="0.25">
      <c r="A163" s="95"/>
      <c r="B163" s="52" t="s">
        <v>625</v>
      </c>
      <c r="C163" s="52" t="s">
        <v>626</v>
      </c>
      <c r="D163" s="50"/>
      <c r="E163" s="56">
        <f>F163 + G163 + H163</f>
        <v>0</v>
      </c>
      <c r="F163" s="57">
        <f>D163 * 0.006994154</f>
        <v>0</v>
      </c>
      <c r="G163" s="57">
        <f>D163 * 0.0002588375</f>
        <v>0</v>
      </c>
      <c r="H163" s="57">
        <f>D163 * 0.0000075719</f>
        <v>0</v>
      </c>
      <c r="P163" s="64" t="s">
        <v>753</v>
      </c>
    </row>
    <row r="164" spans="1:16" x14ac:dyDescent="0.25">
      <c r="A164" s="95"/>
      <c r="B164" s="52" t="s">
        <v>628</v>
      </c>
      <c r="C164" s="52" t="s">
        <v>626</v>
      </c>
      <c r="D164" s="50"/>
      <c r="E164" s="56">
        <f>F164 + G164 + H164</f>
        <v>0</v>
      </c>
      <c r="F164" s="57">
        <f>D164 * 0.0067176528</f>
        <v>0</v>
      </c>
      <c r="G164" s="57">
        <f>D164 * 0.0002486048</f>
        <v>0</v>
      </c>
      <c r="H164" s="57">
        <f>D164 * 0.0000072725</f>
        <v>0</v>
      </c>
      <c r="P164" s="64" t="s">
        <v>754</v>
      </c>
    </row>
    <row r="165" spans="1:16" x14ac:dyDescent="0.25">
      <c r="A165" s="95"/>
      <c r="B165" s="52" t="s">
        <v>630</v>
      </c>
      <c r="C165" s="52" t="s">
        <v>626</v>
      </c>
      <c r="D165" s="50"/>
      <c r="E165" s="56">
        <f>F165 + G165 + H165</f>
        <v>0</v>
      </c>
      <c r="F165" s="57">
        <f>D165 * 0.0073604664</f>
        <v>0</v>
      </c>
      <c r="G165" s="57">
        <f>D165 * 0.0002723939</f>
        <v>0</v>
      </c>
      <c r="H165" s="57">
        <f>D165 * 0.0000079685</f>
        <v>0</v>
      </c>
      <c r="P165" s="64" t="s">
        <v>755</v>
      </c>
    </row>
    <row r="166" spans="1:16" x14ac:dyDescent="0.25">
      <c r="A166" s="95"/>
      <c r="B166" s="52" t="s">
        <v>640</v>
      </c>
      <c r="C166" s="52" t="s">
        <v>626</v>
      </c>
      <c r="D166" s="50"/>
      <c r="E166" s="56">
        <f>F166 + G166 + H166</f>
        <v>0</v>
      </c>
      <c r="F166" s="57">
        <f>D166 * 0.0083309789</f>
        <v>0</v>
      </c>
      <c r="G166" s="57">
        <f>D166 * 0.0003083103</f>
        <v>0</v>
      </c>
      <c r="H166" s="57">
        <f>D166 * 0.0000090191</f>
        <v>0</v>
      </c>
      <c r="P166" s="64" t="s">
        <v>756</v>
      </c>
    </row>
    <row r="167" spans="1:16" x14ac:dyDescent="0.25">
      <c r="A167" s="95"/>
      <c r="B167" s="52" t="s">
        <v>634</v>
      </c>
      <c r="C167" s="52" t="s">
        <v>626</v>
      </c>
      <c r="D167" s="50"/>
      <c r="E167" s="56">
        <f>F167 + G167 + H167</f>
        <v>0</v>
      </c>
      <c r="F167" s="57">
        <f>D167 * 0.0098533733</f>
        <v>0</v>
      </c>
      <c r="G167" s="57">
        <f>D167 * 0.0003646506</f>
        <v>0</v>
      </c>
      <c r="H167" s="57">
        <f>D167 * 0.0000106673</f>
        <v>0</v>
      </c>
      <c r="P167" s="64" t="s">
        <v>757</v>
      </c>
    </row>
    <row r="168" spans="1:16" x14ac:dyDescent="0.25">
      <c r="A168" s="95"/>
      <c r="B168" s="94" t="s">
        <v>705</v>
      </c>
      <c r="C168" s="94"/>
      <c r="D168" s="94"/>
      <c r="E168" s="94"/>
      <c r="F168" s="94"/>
      <c r="G168" s="94"/>
      <c r="H168" s="94"/>
    </row>
    <row r="169" spans="1:16" x14ac:dyDescent="0.25">
      <c r="A169" s="95"/>
      <c r="B169" s="52" t="s">
        <v>625</v>
      </c>
      <c r="C169" s="52" t="s">
        <v>626</v>
      </c>
      <c r="D169" s="50"/>
      <c r="E169" s="56">
        <f>F169 + G169 + H169</f>
        <v>0</v>
      </c>
      <c r="F169" s="57">
        <f>D169 * 0.0134530537</f>
        <v>0</v>
      </c>
      <c r="G169" s="57">
        <f>D169 * 0.0004978665</f>
        <v>0</v>
      </c>
      <c r="H169" s="57">
        <f>D169 * 0.0000145643</f>
        <v>0</v>
      </c>
      <c r="P169" s="64" t="s">
        <v>758</v>
      </c>
    </row>
    <row r="170" spans="1:16" x14ac:dyDescent="0.25">
      <c r="A170" s="95"/>
      <c r="B170" s="52" t="s">
        <v>628</v>
      </c>
      <c r="C170" s="52" t="s">
        <v>626</v>
      </c>
      <c r="D170" s="50"/>
      <c r="E170" s="56">
        <f>F170 + G170 + H170</f>
        <v>0</v>
      </c>
      <c r="F170" s="57">
        <f>D170 * 0.0139231873</f>
        <v>0</v>
      </c>
      <c r="G170" s="57">
        <f>D170 * 0.0005152651</f>
        <v>0</v>
      </c>
      <c r="H170" s="57">
        <f>D170 * 0.0000150733</f>
        <v>0</v>
      </c>
      <c r="P170" s="64" t="s">
        <v>759</v>
      </c>
    </row>
    <row r="171" spans="1:16" x14ac:dyDescent="0.25">
      <c r="A171" s="95"/>
      <c r="B171" s="52" t="s">
        <v>630</v>
      </c>
      <c r="C171" s="52" t="s">
        <v>626</v>
      </c>
      <c r="D171" s="50"/>
      <c r="E171" s="56">
        <f>F171 + G171 + H171</f>
        <v>0</v>
      </c>
      <c r="F171" s="57">
        <f>D171 * 0.0156771472</f>
        <v>0</v>
      </c>
      <c r="G171" s="57">
        <f>D171 * 0.0005801751</f>
        <v>0</v>
      </c>
      <c r="H171" s="57">
        <f>D171 * 0.0000169721</f>
        <v>0</v>
      </c>
      <c r="P171" s="64" t="s">
        <v>760</v>
      </c>
    </row>
    <row r="172" spans="1:16" x14ac:dyDescent="0.25">
      <c r="A172" s="95"/>
      <c r="B172" s="52" t="s">
        <v>640</v>
      </c>
      <c r="C172" s="52" t="s">
        <v>626</v>
      </c>
      <c r="D172" s="50"/>
      <c r="E172" s="56">
        <f>F172 + G172 + H172</f>
        <v>0</v>
      </c>
      <c r="F172" s="57">
        <f>D172 * 0.0174130251</f>
        <v>0</v>
      </c>
      <c r="G172" s="57">
        <f>D172 * 0.0006444159</f>
        <v>0</v>
      </c>
      <c r="H172" s="57">
        <f>D172 * 0.0000188514</f>
        <v>0</v>
      </c>
      <c r="P172" s="64" t="s">
        <v>761</v>
      </c>
    </row>
    <row r="173" spans="1:16" x14ac:dyDescent="0.25">
      <c r="A173" s="95"/>
      <c r="B173" s="52" t="s">
        <v>634</v>
      </c>
      <c r="C173" s="52" t="s">
        <v>626</v>
      </c>
      <c r="D173" s="50"/>
      <c r="E173" s="56">
        <f>F173 + G173 + H173</f>
        <v>0</v>
      </c>
      <c r="F173" s="57">
        <f>D173 * 0.0208305347</f>
        <v>0</v>
      </c>
      <c r="G173" s="57">
        <f>D173 * 0.0007708901</f>
        <v>0</v>
      </c>
      <c r="H173" s="57">
        <f>D173 * 0.0000225512</f>
        <v>0</v>
      </c>
      <c r="P173" s="64" t="s">
        <v>762</v>
      </c>
    </row>
    <row r="174" spans="1:16" x14ac:dyDescent="0.25">
      <c r="A174" s="95"/>
      <c r="B174" s="94" t="s">
        <v>655</v>
      </c>
      <c r="C174" s="94"/>
      <c r="D174" s="94"/>
      <c r="E174" s="94"/>
      <c r="F174" s="94"/>
      <c r="G174" s="94"/>
      <c r="H174" s="94"/>
    </row>
    <row r="175" spans="1:16" x14ac:dyDescent="0.25">
      <c r="A175" s="95"/>
      <c r="B175" s="52" t="s">
        <v>656</v>
      </c>
      <c r="C175" s="52" t="s">
        <v>626</v>
      </c>
      <c r="D175" s="50"/>
      <c r="E175" s="56">
        <f>F175 + G175 + H175</f>
        <v>0</v>
      </c>
      <c r="F175" s="57">
        <f>D175 * 0.0531822988</f>
        <v>0</v>
      </c>
      <c r="G175" s="57">
        <f>D175 * 0.0007083002</f>
        <v>0</v>
      </c>
      <c r="H175" s="57">
        <f>D175 * 0.0016251044</f>
        <v>0</v>
      </c>
      <c r="P175" s="64" t="s">
        <v>763</v>
      </c>
    </row>
    <row r="176" spans="1:16" x14ac:dyDescent="0.25">
      <c r="A176" s="95"/>
      <c r="B176" s="52" t="s">
        <v>658</v>
      </c>
      <c r="C176" s="52" t="s">
        <v>626</v>
      </c>
      <c r="D176" s="50"/>
      <c r="E176" s="56">
        <f>F176 + G176 + H176</f>
        <v>0</v>
      </c>
      <c r="F176" s="57">
        <f>D176 * 0.1024678263</f>
        <v>0</v>
      </c>
      <c r="G176" s="57">
        <f>D176 * 0.0013647019</f>
        <v>0</v>
      </c>
      <c r="H176" s="57">
        <f>D176 * 0.0031311342</f>
        <v>0</v>
      </c>
      <c r="P176" s="64" t="s">
        <v>764</v>
      </c>
    </row>
    <row r="177" spans="1:16" x14ac:dyDescent="0.25">
      <c r="A177" s="95"/>
      <c r="B177" s="52" t="s">
        <v>713</v>
      </c>
      <c r="C177" s="52" t="s">
        <v>626</v>
      </c>
      <c r="D177" s="50"/>
      <c r="E177" s="56">
        <f>F177 + G177 + H177</f>
        <v>0</v>
      </c>
      <c r="F177" s="57">
        <f>D177 * 0.0035263372</f>
        <v>0</v>
      </c>
      <c r="G177" s="57">
        <f>D177 * 0.0001305016</f>
        <v>0</v>
      </c>
      <c r="H177" s="57">
        <f>D177 * 0.0000038176</f>
        <v>0</v>
      </c>
      <c r="P177" s="64" t="s">
        <v>765</v>
      </c>
    </row>
    <row r="178" spans="1:16" x14ac:dyDescent="0.25">
      <c r="A178" s="95"/>
      <c r="B178" s="52" t="s">
        <v>715</v>
      </c>
      <c r="C178" s="52" t="s">
        <v>626</v>
      </c>
      <c r="D178" s="50"/>
      <c r="E178" s="56">
        <f>F178 + G178 + H178</f>
        <v>0</v>
      </c>
      <c r="F178" s="57">
        <f>D178 * 0.0067942928</f>
        <v>0</v>
      </c>
      <c r="G178" s="57">
        <f>D178 * 0.0002514411</f>
        <v>0</v>
      </c>
      <c r="H178" s="57">
        <f>D178 * 0.0000073555</f>
        <v>0</v>
      </c>
      <c r="P178" s="64" t="s">
        <v>766</v>
      </c>
    </row>
    <row r="179" spans="1:16" x14ac:dyDescent="0.25">
      <c r="D179" s="65" t="s">
        <v>116</v>
      </c>
      <c r="E179" s="76">
        <f>SUM(E120:E178)</f>
        <v>0</v>
      </c>
      <c r="F179" s="57">
        <f>SUM(F120:F178)</f>
        <v>0</v>
      </c>
      <c r="G179" s="57">
        <f>SUM(G120:G178)</f>
        <v>0</v>
      </c>
      <c r="H179" s="57">
        <f>SUM(H120:H178)</f>
        <v>0</v>
      </c>
    </row>
    <row r="181" spans="1:16" x14ac:dyDescent="0.25">
      <c r="A181" s="92" t="s">
        <v>622</v>
      </c>
      <c r="B181" s="92"/>
      <c r="C181" s="92"/>
      <c r="D181" s="92"/>
      <c r="E181" s="92"/>
      <c r="F181" s="92"/>
      <c r="G181" s="92"/>
      <c r="H181" s="92"/>
    </row>
    <row r="182" spans="1:16" x14ac:dyDescent="0.25">
      <c r="A182" s="93" t="s">
        <v>767</v>
      </c>
      <c r="B182" s="93"/>
      <c r="C182" s="59" t="s">
        <v>61</v>
      </c>
      <c r="D182" s="60" t="s">
        <v>62</v>
      </c>
      <c r="E182" s="58" t="s">
        <v>63</v>
      </c>
      <c r="F182" s="58" t="s">
        <v>64</v>
      </c>
      <c r="G182" s="58" t="s">
        <v>65</v>
      </c>
      <c r="H182" s="58" t="s">
        <v>66</v>
      </c>
      <c r="P182" s="61" t="s">
        <v>68</v>
      </c>
    </row>
    <row r="183" spans="1:16" x14ac:dyDescent="0.25">
      <c r="A183" s="95" t="s">
        <v>60</v>
      </c>
      <c r="B183" s="94" t="s">
        <v>624</v>
      </c>
      <c r="C183" s="94"/>
      <c r="D183" s="94"/>
      <c r="E183" s="94"/>
      <c r="F183" s="94"/>
      <c r="G183" s="94"/>
      <c r="H183" s="94"/>
    </row>
    <row r="184" spans="1:16" x14ac:dyDescent="0.25">
      <c r="A184" s="95"/>
      <c r="B184" s="52" t="s">
        <v>625</v>
      </c>
      <c r="C184" s="52" t="s">
        <v>626</v>
      </c>
      <c r="D184" s="50"/>
      <c r="E184" s="56">
        <f>F184 + G184 + H184</f>
        <v>0</v>
      </c>
      <c r="F184" s="57">
        <f>D184 * 0.1425051277</f>
        <v>0</v>
      </c>
      <c r="G184" s="57">
        <f>D184 * 0.0018979325</f>
        <v>0</v>
      </c>
      <c r="H184" s="57">
        <f>D184 * 0.0043545638</f>
        <v>0</v>
      </c>
      <c r="P184" s="64" t="s">
        <v>768</v>
      </c>
    </row>
    <row r="185" spans="1:16" x14ac:dyDescent="0.25">
      <c r="A185" s="95"/>
      <c r="B185" s="52" t="s">
        <v>628</v>
      </c>
      <c r="C185" s="52" t="s">
        <v>626</v>
      </c>
      <c r="D185" s="50"/>
      <c r="E185" s="56">
        <f>F185 + G185 + H185</f>
        <v>0</v>
      </c>
      <c r="F185" s="57">
        <f>D185 * 0.1474851456</f>
        <v>0</v>
      </c>
      <c r="G185" s="57">
        <f>D185 * 0.0019642581</f>
        <v>0</v>
      </c>
      <c r="H185" s="57">
        <f>D185 * 0.0045067394</f>
        <v>0</v>
      </c>
      <c r="P185" s="64" t="s">
        <v>769</v>
      </c>
    </row>
    <row r="186" spans="1:16" x14ac:dyDescent="0.25">
      <c r="A186" s="95"/>
      <c r="B186" s="52" t="s">
        <v>630</v>
      </c>
      <c r="C186" s="52" t="s">
        <v>626</v>
      </c>
      <c r="D186" s="50"/>
      <c r="E186" s="56">
        <f>F186 + G186 + H186</f>
        <v>0</v>
      </c>
      <c r="F186" s="57">
        <f>D186 * 0.1660644432</f>
        <v>0</v>
      </c>
      <c r="G186" s="57">
        <f>D186 * 0.0022117036</f>
        <v>0</v>
      </c>
      <c r="H186" s="57">
        <f>D186 * 0.0050744715</f>
        <v>0</v>
      </c>
      <c r="P186" s="64" t="s">
        <v>770</v>
      </c>
    </row>
    <row r="187" spans="1:16" x14ac:dyDescent="0.25">
      <c r="A187" s="95"/>
      <c r="B187" s="52" t="s">
        <v>632</v>
      </c>
      <c r="C187" s="52" t="s">
        <v>626</v>
      </c>
      <c r="D187" s="50"/>
      <c r="E187" s="56">
        <f>F187 + G187 + H187</f>
        <v>0</v>
      </c>
      <c r="F187" s="57">
        <f>D187 * 0.1844522016</f>
        <v>0</v>
      </c>
      <c r="G187" s="57">
        <f>D187 * 0.0024565981</f>
        <v>0</v>
      </c>
      <c r="H187" s="57">
        <f>D187 * 0.0056363507</f>
        <v>0</v>
      </c>
      <c r="P187" s="64" t="s">
        <v>771</v>
      </c>
    </row>
    <row r="188" spans="1:16" x14ac:dyDescent="0.25">
      <c r="A188" s="95"/>
      <c r="B188" s="52" t="s">
        <v>634</v>
      </c>
      <c r="C188" s="52" t="s">
        <v>626</v>
      </c>
      <c r="D188" s="50"/>
      <c r="E188" s="56">
        <f>F188 + G188 + H188</f>
        <v>0</v>
      </c>
      <c r="F188" s="57">
        <f>D188 * 0.220653101</f>
        <v>0</v>
      </c>
      <c r="G188" s="57">
        <f>D188 * 0.0029387342</f>
        <v>0</v>
      </c>
      <c r="H188" s="57">
        <f>D188 * 0.0067425503</f>
        <v>0</v>
      </c>
      <c r="P188" s="64" t="s">
        <v>772</v>
      </c>
    </row>
    <row r="189" spans="1:16" x14ac:dyDescent="0.25">
      <c r="A189" s="95"/>
      <c r="B189" s="94" t="s">
        <v>636</v>
      </c>
      <c r="C189" s="94"/>
      <c r="D189" s="94"/>
      <c r="E189" s="94"/>
      <c r="F189" s="94"/>
      <c r="G189" s="94"/>
      <c r="H189" s="94"/>
    </row>
    <row r="190" spans="1:16" x14ac:dyDescent="0.25">
      <c r="A190" s="95"/>
      <c r="B190" s="52" t="s">
        <v>625</v>
      </c>
      <c r="C190" s="52" t="s">
        <v>626</v>
      </c>
      <c r="D190" s="50"/>
      <c r="E190" s="56">
        <f>F190 + G190 + H190</f>
        <v>0</v>
      </c>
      <c r="F190" s="57">
        <f>D190 * 0.1678219347</f>
        <v>0</v>
      </c>
      <c r="G190" s="57">
        <f>D190 * 0.000251702</f>
        <v>0</v>
      </c>
      <c r="H190" s="57">
        <f>D190 * 0.0023821793</f>
        <v>0</v>
      </c>
      <c r="P190" s="64" t="s">
        <v>773</v>
      </c>
    </row>
    <row r="191" spans="1:16" x14ac:dyDescent="0.25">
      <c r="A191" s="95"/>
      <c r="B191" s="52" t="s">
        <v>628</v>
      </c>
      <c r="C191" s="52" t="s">
        <v>626</v>
      </c>
      <c r="D191" s="50"/>
      <c r="E191" s="56">
        <f>F191 + G191 + H191</f>
        <v>0</v>
      </c>
      <c r="F191" s="57">
        <f>D191 * 0.1614973623</f>
        <v>0</v>
      </c>
      <c r="G191" s="57">
        <f>D191 * 0.0002422163</f>
        <v>0</v>
      </c>
      <c r="H191" s="57">
        <f>D191 * 0.002292404</f>
        <v>0</v>
      </c>
      <c r="P191" s="64" t="s">
        <v>774</v>
      </c>
    </row>
    <row r="192" spans="1:16" x14ac:dyDescent="0.25">
      <c r="A192" s="95"/>
      <c r="B192" s="52" t="s">
        <v>630</v>
      </c>
      <c r="C192" s="52" t="s">
        <v>626</v>
      </c>
      <c r="D192" s="50"/>
      <c r="E192" s="56">
        <f>F192 + G192 + H192</f>
        <v>0</v>
      </c>
      <c r="F192" s="57">
        <f>D192 * 0.1711683923</f>
        <v>0</v>
      </c>
      <c r="G192" s="57">
        <f>D192 * 0.000256721</f>
        <v>0</v>
      </c>
      <c r="H192" s="57">
        <f>D192 * 0.0024296812</f>
        <v>0</v>
      </c>
      <c r="P192" s="64" t="s">
        <v>775</v>
      </c>
    </row>
    <row r="193" spans="1:16" x14ac:dyDescent="0.25">
      <c r="A193" s="95"/>
      <c r="B193" s="52" t="s">
        <v>640</v>
      </c>
      <c r="C193" s="52" t="s">
        <v>626</v>
      </c>
      <c r="D193" s="50"/>
      <c r="E193" s="56">
        <f>F193 + G193 + H193</f>
        <v>0</v>
      </c>
      <c r="F193" s="57">
        <f>D193 * 0.2102710374</f>
        <v>0</v>
      </c>
      <c r="G193" s="57">
        <f>D193 * 0.0003153678</f>
        <v>0</v>
      </c>
      <c r="H193" s="57">
        <f>D193 * 0.0029847309</f>
        <v>0</v>
      </c>
      <c r="P193" s="64" t="s">
        <v>776</v>
      </c>
    </row>
    <row r="194" spans="1:16" x14ac:dyDescent="0.25">
      <c r="A194" s="95"/>
      <c r="B194" s="52" t="s">
        <v>634</v>
      </c>
      <c r="C194" s="52" t="s">
        <v>626</v>
      </c>
      <c r="D194" s="50"/>
      <c r="E194" s="56">
        <f>F194 + G194 + H194</f>
        <v>0</v>
      </c>
      <c r="F194" s="57">
        <f>D194 * 0.2332469616</f>
        <v>0</v>
      </c>
      <c r="G194" s="57">
        <f>D194 * 0.0003498274</f>
        <v>0</v>
      </c>
      <c r="H194" s="57">
        <f>D194 * 0.0033108669</f>
        <v>0</v>
      </c>
      <c r="P194" s="64" t="s">
        <v>777</v>
      </c>
    </row>
    <row r="195" spans="1:16" x14ac:dyDescent="0.25">
      <c r="A195" s="95"/>
      <c r="B195" s="94" t="s">
        <v>643</v>
      </c>
      <c r="C195" s="94"/>
      <c r="D195" s="94"/>
      <c r="E195" s="94"/>
      <c r="F195" s="94"/>
      <c r="G195" s="94"/>
      <c r="H195" s="94"/>
    </row>
    <row r="196" spans="1:16" x14ac:dyDescent="0.25">
      <c r="A196" s="95"/>
      <c r="B196" s="52" t="s">
        <v>625</v>
      </c>
      <c r="C196" s="52" t="s">
        <v>626</v>
      </c>
      <c r="D196" s="50"/>
      <c r="E196" s="56">
        <f>F196 + G196 + H196</f>
        <v>0</v>
      </c>
      <c r="F196" s="57">
        <f>D196 * 0.1123674388</f>
        <v>0</v>
      </c>
      <c r="G196" s="57">
        <f>D196 * 0.0014965484</f>
        <v>0</v>
      </c>
      <c r="H196" s="57">
        <f>D196 * 0.0034336391</f>
        <v>0</v>
      </c>
      <c r="P196" s="64" t="s">
        <v>778</v>
      </c>
    </row>
    <row r="197" spans="1:16" x14ac:dyDescent="0.25">
      <c r="A197" s="95"/>
      <c r="B197" s="52" t="s">
        <v>628</v>
      </c>
      <c r="C197" s="52" t="s">
        <v>626</v>
      </c>
      <c r="D197" s="50"/>
      <c r="E197" s="56">
        <f>F197 + G197 + H197</f>
        <v>0</v>
      </c>
      <c r="F197" s="57">
        <f>D197 * 0.1162942579</f>
        <v>0</v>
      </c>
      <c r="G197" s="57">
        <f>D197 * 0.0015488471</f>
        <v>0</v>
      </c>
      <c r="H197" s="57">
        <f>D197 * 0.0035536319</f>
        <v>0</v>
      </c>
      <c r="P197" s="64" t="s">
        <v>779</v>
      </c>
    </row>
    <row r="198" spans="1:16" x14ac:dyDescent="0.25">
      <c r="A198" s="95"/>
      <c r="B198" s="52" t="s">
        <v>630</v>
      </c>
      <c r="C198" s="52" t="s">
        <v>626</v>
      </c>
      <c r="D198" s="50"/>
      <c r="E198" s="56">
        <f>F198 + G198 + H198</f>
        <v>0</v>
      </c>
      <c r="F198" s="57">
        <f>D198 * 0.1309443138</f>
        <v>0</v>
      </c>
      <c r="G198" s="57">
        <f>D198 * 0.0017439616</f>
        <v>0</v>
      </c>
      <c r="H198" s="57">
        <f>D198 * 0.0040012972</f>
        <v>0</v>
      </c>
      <c r="P198" s="64" t="s">
        <v>780</v>
      </c>
    </row>
    <row r="199" spans="1:16" x14ac:dyDescent="0.25">
      <c r="A199" s="95"/>
      <c r="B199" s="52" t="s">
        <v>640</v>
      </c>
      <c r="C199" s="52" t="s">
        <v>626</v>
      </c>
      <c r="D199" s="50"/>
      <c r="E199" s="56">
        <f>F199 + G199 + H199</f>
        <v>0</v>
      </c>
      <c r="F199" s="57">
        <f>D199 * 0.1454433381</f>
        <v>0</v>
      </c>
      <c r="G199" s="57">
        <f>D199 * 0.0019370646</f>
        <v>0</v>
      </c>
      <c r="H199" s="57">
        <f>D199 * 0.0044443474</f>
        <v>0</v>
      </c>
      <c r="P199" s="64" t="s">
        <v>781</v>
      </c>
    </row>
    <row r="200" spans="1:16" x14ac:dyDescent="0.25">
      <c r="A200" s="95"/>
      <c r="B200" s="52" t="s">
        <v>634</v>
      </c>
      <c r="C200" s="52" t="s">
        <v>626</v>
      </c>
      <c r="D200" s="50"/>
      <c r="E200" s="56">
        <f>F200 + G200 + H200</f>
        <v>0</v>
      </c>
      <c r="F200" s="57">
        <f>D200 * 0.1739882923</f>
        <v>0</v>
      </c>
      <c r="G200" s="57">
        <f>D200 * 0.0023172362</f>
        <v>0</v>
      </c>
      <c r="H200" s="57">
        <f>D200 * 0.0053166025</f>
        <v>0</v>
      </c>
      <c r="P200" s="64" t="s">
        <v>782</v>
      </c>
    </row>
    <row r="201" spans="1:16" x14ac:dyDescent="0.25">
      <c r="A201" s="95"/>
      <c r="B201" s="94" t="s">
        <v>649</v>
      </c>
      <c r="C201" s="94"/>
      <c r="D201" s="94"/>
      <c r="E201" s="94"/>
      <c r="F201" s="94"/>
      <c r="G201" s="94"/>
      <c r="H201" s="94"/>
    </row>
    <row r="202" spans="1:16" x14ac:dyDescent="0.25">
      <c r="A202" s="95"/>
      <c r="B202" s="52" t="s">
        <v>625</v>
      </c>
      <c r="C202" s="52" t="s">
        <v>626</v>
      </c>
      <c r="D202" s="50"/>
      <c r="E202" s="56">
        <f>F202 + G202 + H202</f>
        <v>0</v>
      </c>
      <c r="F202" s="57">
        <f>D202 * 0.147637133</f>
        <v>0</v>
      </c>
      <c r="G202" s="57">
        <f>D202 * 0.0002214285</f>
        <v>0</v>
      </c>
      <c r="H202" s="57">
        <f>D202 * 0.0020956624</f>
        <v>0</v>
      </c>
      <c r="P202" s="64" t="s">
        <v>783</v>
      </c>
    </row>
    <row r="203" spans="1:16" x14ac:dyDescent="0.25">
      <c r="A203" s="95"/>
      <c r="B203" s="52" t="s">
        <v>628</v>
      </c>
      <c r="C203" s="52" t="s">
        <v>626</v>
      </c>
      <c r="D203" s="50"/>
      <c r="E203" s="56">
        <f>F203 + G203 + H203</f>
        <v>0</v>
      </c>
      <c r="F203" s="57">
        <f>D203 * 0.1420732492</f>
        <v>0</v>
      </c>
      <c r="G203" s="57">
        <f>D203 * 0.0002130837</f>
        <v>0</v>
      </c>
      <c r="H203" s="57">
        <f>D203 * 0.0020166848</f>
        <v>0</v>
      </c>
      <c r="P203" s="64" t="s">
        <v>784</v>
      </c>
    </row>
    <row r="204" spans="1:16" x14ac:dyDescent="0.25">
      <c r="A204" s="95"/>
      <c r="B204" s="52" t="s">
        <v>630</v>
      </c>
      <c r="C204" s="52" t="s">
        <v>626</v>
      </c>
      <c r="D204" s="50"/>
      <c r="E204" s="56">
        <f>F204 + G204 + H204</f>
        <v>0</v>
      </c>
      <c r="F204" s="57">
        <f>D204 * 0.1505810951</f>
        <v>0</v>
      </c>
      <c r="G204" s="57">
        <f>D204 * 0.0002258439</f>
        <v>0</v>
      </c>
      <c r="H204" s="57">
        <f>D204 * 0.002137451</f>
        <v>0</v>
      </c>
      <c r="P204" s="64" t="s">
        <v>785</v>
      </c>
    </row>
    <row r="205" spans="1:16" x14ac:dyDescent="0.25">
      <c r="A205" s="95"/>
      <c r="B205" s="52" t="s">
        <v>640</v>
      </c>
      <c r="C205" s="52" t="s">
        <v>626</v>
      </c>
      <c r="D205" s="50"/>
      <c r="E205" s="56">
        <f>F205 + G205 + H205</f>
        <v>0</v>
      </c>
      <c r="F205" s="57">
        <f>D205 * 0.1851209154</f>
        <v>0</v>
      </c>
      <c r="G205" s="57">
        <f>D205 * 0.0002776472</f>
        <v>0</v>
      </c>
      <c r="H205" s="57">
        <f>D205 * 0.0026277329</f>
        <v>0</v>
      </c>
      <c r="P205" s="64" t="s">
        <v>786</v>
      </c>
    </row>
    <row r="206" spans="1:16" x14ac:dyDescent="0.25">
      <c r="A206" s="95"/>
      <c r="B206" s="52" t="s">
        <v>634</v>
      </c>
      <c r="C206" s="52" t="s">
        <v>626</v>
      </c>
      <c r="D206" s="50"/>
      <c r="E206" s="56">
        <f>F206 + G206 + H206</f>
        <v>0</v>
      </c>
      <c r="F206" s="57">
        <f>D206 * 0.2053487325</f>
        <v>0</v>
      </c>
      <c r="G206" s="57">
        <f>D206 * 0.0003079852</f>
        <v>0</v>
      </c>
      <c r="H206" s="57">
        <f>D206 * 0.0029148603</f>
        <v>0</v>
      </c>
      <c r="P206" s="64" t="s">
        <v>787</v>
      </c>
    </row>
    <row r="207" spans="1:16" x14ac:dyDescent="0.25">
      <c r="A207" s="95"/>
      <c r="B207" s="94" t="s">
        <v>681</v>
      </c>
      <c r="C207" s="94"/>
      <c r="D207" s="94"/>
      <c r="E207" s="94"/>
      <c r="F207" s="94"/>
      <c r="G207" s="94"/>
      <c r="H207" s="94"/>
    </row>
    <row r="208" spans="1:16" x14ac:dyDescent="0.25">
      <c r="A208" s="95"/>
      <c r="B208" s="52" t="s">
        <v>625</v>
      </c>
      <c r="C208" s="52" t="s">
        <v>626</v>
      </c>
      <c r="D208" s="50"/>
      <c r="E208" s="56">
        <f>F208 + G208 + H208</f>
        <v>0</v>
      </c>
      <c r="F208" s="57">
        <f>D208 * 0.0588056263</f>
        <v>0</v>
      </c>
      <c r="G208" s="57">
        <f>D208 * 0.0007831936</f>
        <v>0</v>
      </c>
      <c r="H208" s="57">
        <f>D208 * 0.0017969378</f>
        <v>0</v>
      </c>
      <c r="P208" s="64" t="s">
        <v>788</v>
      </c>
    </row>
    <row r="209" spans="1:16" x14ac:dyDescent="0.25">
      <c r="A209" s="95"/>
      <c r="B209" s="52" t="s">
        <v>628</v>
      </c>
      <c r="C209" s="52" t="s">
        <v>626</v>
      </c>
      <c r="D209" s="50"/>
      <c r="E209" s="56">
        <f>F209 + G209 + H209</f>
        <v>0</v>
      </c>
      <c r="F209" s="57">
        <f>D209 * 0.0608606616</f>
        <v>0</v>
      </c>
      <c r="G209" s="57">
        <f>D209 * 0.0008105633</f>
        <v>0</v>
      </c>
      <c r="H209" s="57">
        <f>D209 * 0.001859734</f>
        <v>0</v>
      </c>
      <c r="P209" s="64" t="s">
        <v>789</v>
      </c>
    </row>
    <row r="210" spans="1:16" x14ac:dyDescent="0.25">
      <c r="A210" s="95"/>
      <c r="B210" s="52" t="s">
        <v>630</v>
      </c>
      <c r="C210" s="52" t="s">
        <v>626</v>
      </c>
      <c r="D210" s="50"/>
      <c r="E210" s="56">
        <f>F210 + G210 + H210</f>
        <v>0</v>
      </c>
      <c r="F210" s="57">
        <f>D210 * 0.0685275242</f>
        <v>0</v>
      </c>
      <c r="G210" s="57">
        <f>D210 * 0.0009126732</f>
        <v>0</v>
      </c>
      <c r="H210" s="57">
        <f>D210 * 0.0020940122</f>
        <v>0</v>
      </c>
      <c r="P210" s="64" t="s">
        <v>790</v>
      </c>
    </row>
    <row r="211" spans="1:16" x14ac:dyDescent="0.25">
      <c r="A211" s="95"/>
      <c r="B211" s="52" t="s">
        <v>640</v>
      </c>
      <c r="C211" s="52" t="s">
        <v>626</v>
      </c>
      <c r="D211" s="50"/>
      <c r="E211" s="56">
        <f>F211 + G211 + H211</f>
        <v>0</v>
      </c>
      <c r="F211" s="57">
        <f>D211 * 0.076115347</f>
        <v>0</v>
      </c>
      <c r="G211" s="57">
        <f>D211 * 0.0010137305</f>
        <v>0</v>
      </c>
      <c r="H211" s="57">
        <f>D211 * 0.0023258751</f>
        <v>0</v>
      </c>
      <c r="P211" s="64" t="s">
        <v>791</v>
      </c>
    </row>
    <row r="212" spans="1:16" x14ac:dyDescent="0.25">
      <c r="A212" s="95"/>
      <c r="B212" s="52" t="s">
        <v>634</v>
      </c>
      <c r="C212" s="52" t="s">
        <v>626</v>
      </c>
      <c r="D212" s="50"/>
      <c r="E212" s="56">
        <f>F212 + G212 + H212</f>
        <v>0</v>
      </c>
      <c r="F212" s="57">
        <f>D212 * 0.091053873</f>
        <v>0</v>
      </c>
      <c r="G212" s="57">
        <f>D212 * 0.0012126869</f>
        <v>0</v>
      </c>
      <c r="H212" s="57">
        <f>D212 * 0.0027823553</f>
        <v>0</v>
      </c>
      <c r="P212" s="64" t="s">
        <v>792</v>
      </c>
    </row>
    <row r="213" spans="1:16" x14ac:dyDescent="0.25">
      <c r="A213" s="95"/>
      <c r="B213" s="94" t="s">
        <v>687</v>
      </c>
      <c r="C213" s="94"/>
      <c r="D213" s="94"/>
      <c r="E213" s="94"/>
      <c r="F213" s="94"/>
      <c r="G213" s="94"/>
      <c r="H213" s="94"/>
    </row>
    <row r="214" spans="1:16" x14ac:dyDescent="0.25">
      <c r="A214" s="95"/>
      <c r="B214" s="52" t="s">
        <v>625</v>
      </c>
      <c r="C214" s="52" t="s">
        <v>626</v>
      </c>
      <c r="D214" s="50"/>
      <c r="E214" s="56">
        <f>F214 + G214 + H214</f>
        <v>0</v>
      </c>
      <c r="F214" s="57">
        <f>D214 * 0.0061773569</f>
        <v>0</v>
      </c>
      <c r="G214" s="57">
        <f>D214 * 0.0002286097</f>
        <v>0</v>
      </c>
      <c r="H214" s="57">
        <f>D214 * 0.0000066876</f>
        <v>0</v>
      </c>
      <c r="P214" s="64" t="s">
        <v>793</v>
      </c>
    </row>
    <row r="215" spans="1:16" x14ac:dyDescent="0.25">
      <c r="A215" s="95"/>
      <c r="B215" s="52" t="s">
        <v>628</v>
      </c>
      <c r="C215" s="52" t="s">
        <v>626</v>
      </c>
      <c r="D215" s="50"/>
      <c r="E215" s="56">
        <f>F215 + G215 + H215</f>
        <v>0</v>
      </c>
      <c r="F215" s="57">
        <f>D215 * 0.0063932323</f>
        <v>0</v>
      </c>
      <c r="G215" s="57">
        <f>D215 * 0.0002365988</f>
        <v>0</v>
      </c>
      <c r="H215" s="57">
        <f>D215 * 0.0000069213</f>
        <v>0</v>
      </c>
      <c r="P215" s="64" t="s">
        <v>794</v>
      </c>
    </row>
    <row r="216" spans="1:16" x14ac:dyDescent="0.25">
      <c r="A216" s="95"/>
      <c r="B216" s="52" t="s">
        <v>630</v>
      </c>
      <c r="C216" s="52" t="s">
        <v>626</v>
      </c>
      <c r="D216" s="50"/>
      <c r="E216" s="56">
        <f>F216 + G216 + H216</f>
        <v>0</v>
      </c>
      <c r="F216" s="57">
        <f>D216 * 0.0071986135</f>
        <v>0</v>
      </c>
      <c r="G216" s="57">
        <f>D216 * 0.0002664041</f>
        <v>0</v>
      </c>
      <c r="H216" s="57">
        <f>D216 * 0.0000077932</f>
        <v>0</v>
      </c>
      <c r="P216" s="64" t="s">
        <v>795</v>
      </c>
    </row>
    <row r="217" spans="1:16" x14ac:dyDescent="0.25">
      <c r="A217" s="95"/>
      <c r="B217" s="52" t="s">
        <v>640</v>
      </c>
      <c r="C217" s="52" t="s">
        <v>626</v>
      </c>
      <c r="D217" s="50"/>
      <c r="E217" s="56">
        <f>F217 + G217 + H217</f>
        <v>0</v>
      </c>
      <c r="F217" s="57">
        <f>D217 * 0.0079956919</f>
        <v>0</v>
      </c>
      <c r="G217" s="57">
        <f>D217 * 0.0002959021</f>
        <v>0</v>
      </c>
      <c r="H217" s="57">
        <f>D217 * 0.0000086562</f>
        <v>0</v>
      </c>
      <c r="P217" s="64" t="s">
        <v>796</v>
      </c>
    </row>
    <row r="218" spans="1:16" x14ac:dyDescent="0.25">
      <c r="A218" s="95"/>
      <c r="B218" s="52" t="s">
        <v>634</v>
      </c>
      <c r="C218" s="52" t="s">
        <v>626</v>
      </c>
      <c r="D218" s="50"/>
      <c r="E218" s="56">
        <f>F218 + G218 + H218</f>
        <v>0</v>
      </c>
      <c r="F218" s="57">
        <f>D218 * 0.0095649398</f>
        <v>0</v>
      </c>
      <c r="G218" s="57">
        <f>D218 * 0.0003539764</f>
        <v>0</v>
      </c>
      <c r="H218" s="57">
        <f>D218 * 0.000010355</f>
        <v>0</v>
      </c>
      <c r="P218" s="64" t="s">
        <v>797</v>
      </c>
    </row>
    <row r="219" spans="1:16" x14ac:dyDescent="0.25">
      <c r="A219" s="95"/>
      <c r="B219" s="94" t="s">
        <v>693</v>
      </c>
      <c r="C219" s="94"/>
      <c r="D219" s="94"/>
      <c r="E219" s="94"/>
      <c r="F219" s="94"/>
      <c r="G219" s="94"/>
      <c r="H219" s="94"/>
    </row>
    <row r="220" spans="1:16" x14ac:dyDescent="0.25">
      <c r="A220" s="95"/>
      <c r="B220" s="52" t="s">
        <v>625</v>
      </c>
      <c r="C220" s="52" t="s">
        <v>626</v>
      </c>
      <c r="D220" s="50"/>
      <c r="E220" s="56">
        <f>F220 + G220 + H220</f>
        <v>0</v>
      </c>
      <c r="F220" s="57">
        <f>D220 * 0.077263433</f>
        <v>0</v>
      </c>
      <c r="G220" s="57">
        <f>D220 * 0.0001158809</f>
        <v>0</v>
      </c>
      <c r="H220" s="57">
        <f>D220 * 0.00109673</f>
        <v>0</v>
      </c>
      <c r="P220" s="64" t="s">
        <v>798</v>
      </c>
    </row>
    <row r="221" spans="1:16" x14ac:dyDescent="0.25">
      <c r="A221" s="95"/>
      <c r="B221" s="52" t="s">
        <v>628</v>
      </c>
      <c r="C221" s="52" t="s">
        <v>626</v>
      </c>
      <c r="D221" s="50"/>
      <c r="E221" s="56">
        <f>F221 + G221 + H221</f>
        <v>0</v>
      </c>
      <c r="F221" s="57">
        <f>D221 * 0.0743516671</f>
        <v>0</v>
      </c>
      <c r="G221" s="57">
        <f>D221 * 0.0001115138</f>
        <v>0</v>
      </c>
      <c r="H221" s="57">
        <f>D221 * 0.0010553984</f>
        <v>0</v>
      </c>
      <c r="P221" s="64" t="s">
        <v>799</v>
      </c>
    </row>
    <row r="222" spans="1:16" x14ac:dyDescent="0.25">
      <c r="A222" s="95"/>
      <c r="B222" s="52" t="s">
        <v>630</v>
      </c>
      <c r="C222" s="52" t="s">
        <v>626</v>
      </c>
      <c r="D222" s="50"/>
      <c r="E222" s="56">
        <f>F222 + G222 + H222</f>
        <v>0</v>
      </c>
      <c r="F222" s="57">
        <f>D222 * 0.0788041064</f>
        <v>0</v>
      </c>
      <c r="G222" s="57">
        <f>D222 * 0.0001181916</f>
        <v>0</v>
      </c>
      <c r="H222" s="57">
        <f>D222 * 0.0011185994</f>
        <v>0</v>
      </c>
      <c r="P222" s="64" t="s">
        <v>800</v>
      </c>
    </row>
    <row r="223" spans="1:16" x14ac:dyDescent="0.25">
      <c r="A223" s="95"/>
      <c r="B223" s="52" t="s">
        <v>640</v>
      </c>
      <c r="C223" s="52" t="s">
        <v>626</v>
      </c>
      <c r="D223" s="50"/>
      <c r="E223" s="56">
        <f>F223 + G223 + H223</f>
        <v>0</v>
      </c>
      <c r="F223" s="57">
        <f>D223 * 0.0968799457</f>
        <v>0</v>
      </c>
      <c r="G223" s="57">
        <f>D223 * 0.0001453021</f>
        <v>0</v>
      </c>
      <c r="H223" s="57">
        <f>D223 * 0.0013751802</f>
        <v>0</v>
      </c>
      <c r="P223" s="64" t="s">
        <v>801</v>
      </c>
    </row>
    <row r="224" spans="1:16" x14ac:dyDescent="0.25">
      <c r="A224" s="95"/>
      <c r="B224" s="52" t="s">
        <v>634</v>
      </c>
      <c r="C224" s="52" t="s">
        <v>626</v>
      </c>
      <c r="D224" s="50"/>
      <c r="E224" s="56">
        <f>F224 + G224 + H224</f>
        <v>0</v>
      </c>
      <c r="F224" s="57">
        <f>D224 * 0.1074658367</f>
        <v>0</v>
      </c>
      <c r="G224" s="57">
        <f>D224 * 0.0001611789</f>
        <v>0</v>
      </c>
      <c r="H224" s="57">
        <f>D224 * 0.0015254436</f>
        <v>0</v>
      </c>
      <c r="P224" s="64" t="s">
        <v>802</v>
      </c>
    </row>
    <row r="225" spans="1:16" x14ac:dyDescent="0.25">
      <c r="A225" s="95"/>
      <c r="B225" s="94" t="s">
        <v>699</v>
      </c>
      <c r="C225" s="94"/>
      <c r="D225" s="94"/>
      <c r="E225" s="94"/>
      <c r="F225" s="94"/>
      <c r="G225" s="94"/>
      <c r="H225" s="94"/>
    </row>
    <row r="226" spans="1:16" x14ac:dyDescent="0.25">
      <c r="A226" s="95"/>
      <c r="B226" s="52" t="s">
        <v>625</v>
      </c>
      <c r="C226" s="52" t="s">
        <v>626</v>
      </c>
      <c r="D226" s="50"/>
      <c r="E226" s="56">
        <f>F226 + G226 + H226</f>
        <v>0</v>
      </c>
      <c r="F226" s="57">
        <f>D226 * 0.0067375535</f>
        <v>0</v>
      </c>
      <c r="G226" s="57">
        <f>D226 * 0.0002493413</f>
        <v>0</v>
      </c>
      <c r="H226" s="57">
        <f>D226 * 0.0000072941</f>
        <v>0</v>
      </c>
      <c r="P226" s="64" t="s">
        <v>803</v>
      </c>
    </row>
    <row r="227" spans="1:16" x14ac:dyDescent="0.25">
      <c r="A227" s="95"/>
      <c r="B227" s="52" t="s">
        <v>628</v>
      </c>
      <c r="C227" s="52" t="s">
        <v>626</v>
      </c>
      <c r="D227" s="50"/>
      <c r="E227" s="56">
        <f>F227 + G227 + H227</f>
        <v>0</v>
      </c>
      <c r="F227" s="57">
        <f>D227 * 0.0064711965</f>
        <v>0</v>
      </c>
      <c r="G227" s="57">
        <f>D227 * 0.0002394841</f>
        <v>0</v>
      </c>
      <c r="H227" s="57">
        <f>D227 * 0.0000070057</f>
        <v>0</v>
      </c>
      <c r="P227" s="64" t="s">
        <v>804</v>
      </c>
    </row>
    <row r="228" spans="1:16" x14ac:dyDescent="0.25">
      <c r="A228" s="95"/>
      <c r="B228" s="52" t="s">
        <v>630</v>
      </c>
      <c r="C228" s="52" t="s">
        <v>626</v>
      </c>
      <c r="D228" s="50"/>
      <c r="E228" s="56">
        <f>F228 + G228 + H228</f>
        <v>0</v>
      </c>
      <c r="F228" s="57">
        <f>D228 * 0.0070904268</f>
        <v>0</v>
      </c>
      <c r="G228" s="57">
        <f>D228 * 0.0002624004</f>
        <v>0</v>
      </c>
      <c r="H228" s="57">
        <f>D228 * 0.0000076761</f>
        <v>0</v>
      </c>
      <c r="P228" s="64" t="s">
        <v>805</v>
      </c>
    </row>
    <row r="229" spans="1:16" x14ac:dyDescent="0.25">
      <c r="A229" s="95"/>
      <c r="B229" s="52" t="s">
        <v>640</v>
      </c>
      <c r="C229" s="52" t="s">
        <v>626</v>
      </c>
      <c r="D229" s="50"/>
      <c r="E229" s="56">
        <f>F229 + G229 + H229</f>
        <v>0</v>
      </c>
      <c r="F229" s="57">
        <f>D229 * 0.0080253332</f>
        <v>0</v>
      </c>
      <c r="G229" s="57">
        <f>D229 * 0.0002969991</f>
        <v>0</v>
      </c>
      <c r="H229" s="57">
        <f>D229 * 0.0000086882</f>
        <v>0</v>
      </c>
      <c r="P229" s="64" t="s">
        <v>806</v>
      </c>
    </row>
    <row r="230" spans="1:16" x14ac:dyDescent="0.25">
      <c r="A230" s="95"/>
      <c r="B230" s="52" t="s">
        <v>634</v>
      </c>
      <c r="C230" s="52" t="s">
        <v>626</v>
      </c>
      <c r="D230" s="50"/>
      <c r="E230" s="56">
        <f>F230 + G230 + H230</f>
        <v>0</v>
      </c>
      <c r="F230" s="57">
        <f>D230 * 0.0094918743</f>
        <v>0</v>
      </c>
      <c r="G230" s="57">
        <f>D230 * 0.0003512724</f>
        <v>0</v>
      </c>
      <c r="H230" s="57">
        <f>D230 * 0.0000102759</f>
        <v>0</v>
      </c>
      <c r="P230" s="64" t="s">
        <v>807</v>
      </c>
    </row>
    <row r="231" spans="1:16" x14ac:dyDescent="0.25">
      <c r="A231" s="95"/>
      <c r="B231" s="94" t="s">
        <v>705</v>
      </c>
      <c r="C231" s="94"/>
      <c r="D231" s="94"/>
      <c r="E231" s="94"/>
      <c r="F231" s="94"/>
      <c r="G231" s="94"/>
      <c r="H231" s="94"/>
    </row>
    <row r="232" spans="1:16" x14ac:dyDescent="0.25">
      <c r="A232" s="95"/>
      <c r="B232" s="52" t="s">
        <v>625</v>
      </c>
      <c r="C232" s="52" t="s">
        <v>626</v>
      </c>
      <c r="D232" s="50"/>
      <c r="E232" s="56">
        <f>F232 + G232 + H232</f>
        <v>0</v>
      </c>
      <c r="F232" s="57">
        <f>D232 * 0.0129594901</f>
        <v>0</v>
      </c>
      <c r="G232" s="57">
        <f>D232 * 0.0004796009</f>
        <v>0</v>
      </c>
      <c r="H232" s="57">
        <f>D232 * 0.00001403</f>
        <v>0</v>
      </c>
      <c r="P232" s="64" t="s">
        <v>808</v>
      </c>
    </row>
    <row r="233" spans="1:16" x14ac:dyDescent="0.25">
      <c r="A233" s="95"/>
      <c r="B233" s="52" t="s">
        <v>628</v>
      </c>
      <c r="C233" s="52" t="s">
        <v>626</v>
      </c>
      <c r="D233" s="50"/>
      <c r="E233" s="56">
        <f>F233 + G233 + H233</f>
        <v>0</v>
      </c>
      <c r="F233" s="57">
        <f>D233 * 0.0134123755</f>
        <v>0</v>
      </c>
      <c r="G233" s="57">
        <f>D233 * 0.0004963611</f>
        <v>0</v>
      </c>
      <c r="H233" s="57">
        <f>D233 * 0.0000145203</f>
        <v>0</v>
      </c>
      <c r="P233" s="64" t="s">
        <v>809</v>
      </c>
    </row>
    <row r="234" spans="1:16" x14ac:dyDescent="0.25">
      <c r="A234" s="95"/>
      <c r="B234" s="52" t="s">
        <v>630</v>
      </c>
      <c r="C234" s="52" t="s">
        <v>626</v>
      </c>
      <c r="D234" s="50"/>
      <c r="E234" s="56">
        <f>F234 + G234 + H234</f>
        <v>0</v>
      </c>
      <c r="F234" s="57">
        <f>D234 * 0.0151019864</f>
        <v>0</v>
      </c>
      <c r="G234" s="57">
        <f>D234 * 0.0005588897</f>
        <v>0</v>
      </c>
      <c r="H234" s="57">
        <f>D234 * 0.0000163494</f>
        <v>0</v>
      </c>
      <c r="P234" s="64" t="s">
        <v>810</v>
      </c>
    </row>
    <row r="235" spans="1:16" x14ac:dyDescent="0.25">
      <c r="A235" s="95"/>
      <c r="B235" s="52" t="s">
        <v>640</v>
      </c>
      <c r="C235" s="52" t="s">
        <v>626</v>
      </c>
      <c r="D235" s="50"/>
      <c r="E235" s="56">
        <f>F235 + G235 + H235</f>
        <v>0</v>
      </c>
      <c r="F235" s="57">
        <f>D235 * 0.0167741787</f>
        <v>0</v>
      </c>
      <c r="G235" s="57">
        <f>D235 * 0.0006207737</f>
        <v>0</v>
      </c>
      <c r="H235" s="57">
        <f>D235 * 0.0000181598</f>
        <v>0</v>
      </c>
      <c r="P235" s="64" t="s">
        <v>811</v>
      </c>
    </row>
    <row r="236" spans="1:16" x14ac:dyDescent="0.25">
      <c r="A236" s="95"/>
      <c r="B236" s="52" t="s">
        <v>634</v>
      </c>
      <c r="C236" s="52" t="s">
        <v>626</v>
      </c>
      <c r="D236" s="50"/>
      <c r="E236" s="56">
        <f>F236 + G236 + H236</f>
        <v>0</v>
      </c>
      <c r="F236" s="57">
        <f>D236 * 0.0200663072</f>
        <v>0</v>
      </c>
      <c r="G236" s="57">
        <f>D236 * 0.0007426078</f>
        <v>0</v>
      </c>
      <c r="H236" s="57">
        <f>D236 * 0.0000217238</f>
        <v>0</v>
      </c>
      <c r="P236" s="64" t="s">
        <v>812</v>
      </c>
    </row>
    <row r="237" spans="1:16" x14ac:dyDescent="0.25">
      <c r="A237" s="95"/>
      <c r="B237" s="94" t="s">
        <v>655</v>
      </c>
      <c r="C237" s="94"/>
      <c r="D237" s="94"/>
      <c r="E237" s="94"/>
      <c r="F237" s="94"/>
      <c r="G237" s="94"/>
      <c r="H237" s="94"/>
    </row>
    <row r="238" spans="1:16" x14ac:dyDescent="0.25">
      <c r="A238" s="95"/>
      <c r="B238" s="52" t="s">
        <v>656</v>
      </c>
      <c r="C238" s="52" t="s">
        <v>626</v>
      </c>
      <c r="D238" s="50"/>
      <c r="E238" s="56">
        <f>F238 + G238 + H238</f>
        <v>0</v>
      </c>
      <c r="F238" s="57">
        <f>D238 * 0.0507857276</f>
        <v>0</v>
      </c>
      <c r="G238" s="57">
        <f>D238 * 0.0006763819</f>
        <v>0</v>
      </c>
      <c r="H238" s="57">
        <f>D238 * 0.0015518718</f>
        <v>0</v>
      </c>
      <c r="P238" s="64" t="s">
        <v>813</v>
      </c>
    </row>
    <row r="239" spans="1:16" x14ac:dyDescent="0.25">
      <c r="A239" s="95"/>
      <c r="B239" s="52" t="s">
        <v>658</v>
      </c>
      <c r="C239" s="52" t="s">
        <v>626</v>
      </c>
      <c r="D239" s="50"/>
      <c r="E239" s="56">
        <f>F239 + G239 + H239</f>
        <v>0</v>
      </c>
      <c r="F239" s="57">
        <f>D239 * 0.101242516</f>
        <v>0</v>
      </c>
      <c r="G239" s="57">
        <f>D239 * 0.0013483828</f>
        <v>0</v>
      </c>
      <c r="H239" s="57">
        <f>D239 * 0.0030936921</f>
        <v>0</v>
      </c>
      <c r="P239" s="64" t="s">
        <v>814</v>
      </c>
    </row>
    <row r="240" spans="1:16" x14ac:dyDescent="0.25">
      <c r="A240" s="95"/>
      <c r="B240" s="52" t="s">
        <v>713</v>
      </c>
      <c r="C240" s="52" t="s">
        <v>626</v>
      </c>
      <c r="D240" s="50"/>
      <c r="E240" s="56">
        <f>F240 + G240 + H240</f>
        <v>0</v>
      </c>
      <c r="F240" s="57">
        <f>D240 * 0.0033674287</f>
        <v>0</v>
      </c>
      <c r="G240" s="57">
        <f>D240 * 0.0001246208</f>
        <v>0</v>
      </c>
      <c r="H240" s="57">
        <f>D240 * 0.0000036456</f>
        <v>0</v>
      </c>
      <c r="P240" s="64" t="s">
        <v>815</v>
      </c>
    </row>
    <row r="241" spans="1:16" x14ac:dyDescent="0.25">
      <c r="A241" s="95"/>
      <c r="B241" s="52" t="s">
        <v>715</v>
      </c>
      <c r="C241" s="52" t="s">
        <v>626</v>
      </c>
      <c r="D241" s="50"/>
      <c r="E241" s="56">
        <f>F241 + G241 + H241</f>
        <v>0</v>
      </c>
      <c r="F241" s="57">
        <f>D241 * 0.0067130467</f>
        <v>0</v>
      </c>
      <c r="G241" s="57">
        <f>D241 * 0.0002484344</f>
        <v>0</v>
      </c>
      <c r="H241" s="57">
        <f>D241 * 0.0000072676</f>
        <v>0</v>
      </c>
      <c r="P241" s="64" t="s">
        <v>816</v>
      </c>
    </row>
    <row r="242" spans="1:16" x14ac:dyDescent="0.25">
      <c r="D242" s="65" t="s">
        <v>116</v>
      </c>
      <c r="E242" s="56">
        <f>SUM(E183:E241)</f>
        <v>0</v>
      </c>
      <c r="F242" s="57">
        <f>SUM(F183:F241)</f>
        <v>0</v>
      </c>
      <c r="G242" s="57">
        <f>SUM(G183:G241)</f>
        <v>0</v>
      </c>
      <c r="H242" s="57">
        <f>SUM(H183:H241)</f>
        <v>0</v>
      </c>
    </row>
    <row r="244" spans="1:16" x14ac:dyDescent="0.25">
      <c r="A244" s="92" t="s">
        <v>817</v>
      </c>
      <c r="B244" s="92"/>
      <c r="C244" s="92"/>
      <c r="D244" s="92"/>
      <c r="E244" s="92"/>
      <c r="F244" s="92"/>
      <c r="G244" s="92"/>
      <c r="H244" s="92"/>
      <c r="I244" s="54"/>
    </row>
    <row r="245" spans="1:16" x14ac:dyDescent="0.25">
      <c r="A245" s="93" t="s">
        <v>60</v>
      </c>
      <c r="B245" s="93"/>
      <c r="C245" s="59" t="s">
        <v>61</v>
      </c>
      <c r="D245" s="60" t="s">
        <v>62</v>
      </c>
      <c r="E245" s="58" t="s">
        <v>63</v>
      </c>
      <c r="F245" s="58" t="s">
        <v>64</v>
      </c>
      <c r="G245" s="58" t="s">
        <v>65</v>
      </c>
      <c r="H245" s="58" t="s">
        <v>66</v>
      </c>
      <c r="P245" s="61" t="s">
        <v>68</v>
      </c>
    </row>
    <row r="246" spans="1:16" x14ac:dyDescent="0.25">
      <c r="A246" s="95" t="s">
        <v>818</v>
      </c>
      <c r="B246" s="52" t="s">
        <v>819</v>
      </c>
      <c r="C246" s="52" t="s">
        <v>626</v>
      </c>
      <c r="D246" s="50"/>
      <c r="E246" s="56">
        <f t="shared" ref="E246:E269" si="1">F246 + G246 + H246</f>
        <v>0</v>
      </c>
      <c r="F246" s="57">
        <f>D246 * 0.2330638683</f>
        <v>0</v>
      </c>
      <c r="G246" s="57">
        <f>D246 * 0.0031040251</f>
        <v>0</v>
      </c>
      <c r="H246" s="57">
        <f>D246 * 0.0071217892</f>
        <v>0</v>
      </c>
      <c r="P246" s="64" t="s">
        <v>820</v>
      </c>
    </row>
    <row r="247" spans="1:16" x14ac:dyDescent="0.25">
      <c r="A247" s="95"/>
      <c r="B247" s="52" t="s">
        <v>89</v>
      </c>
      <c r="C247" s="52" t="s">
        <v>626</v>
      </c>
      <c r="D247" s="50"/>
      <c r="E247" s="56">
        <f t="shared" si="1"/>
        <v>0</v>
      </c>
      <c r="F247" s="57">
        <f>D247 * 0.2606175122</f>
        <v>0</v>
      </c>
      <c r="G247" s="57">
        <f>D247 * 0.0003908782</f>
        <v>0</v>
      </c>
      <c r="H247" s="57">
        <f>D247 * 0.0036993832</f>
        <v>0</v>
      </c>
      <c r="P247" s="64" t="s">
        <v>821</v>
      </c>
    </row>
    <row r="248" spans="1:16" x14ac:dyDescent="0.25">
      <c r="A248" s="95"/>
      <c r="B248" s="52" t="s">
        <v>822</v>
      </c>
      <c r="C248" s="52" t="s">
        <v>626</v>
      </c>
      <c r="D248" s="50"/>
      <c r="E248" s="56">
        <f t="shared" si="1"/>
        <v>0</v>
      </c>
      <c r="F248" s="57">
        <f>D248 * 0.1839977908</f>
        <v>0</v>
      </c>
      <c r="G248" s="57">
        <f>D248 * 0.0024505461</f>
        <v>0</v>
      </c>
      <c r="H248" s="57">
        <f>D248 * 0.0056224651</f>
        <v>0</v>
      </c>
      <c r="P248" s="64" t="s">
        <v>823</v>
      </c>
    </row>
    <row r="249" spans="1:16" x14ac:dyDescent="0.25">
      <c r="A249" s="95"/>
      <c r="B249" s="52" t="s">
        <v>824</v>
      </c>
      <c r="C249" s="52" t="s">
        <v>626</v>
      </c>
      <c r="D249" s="50"/>
      <c r="E249" s="56">
        <f t="shared" si="1"/>
        <v>0</v>
      </c>
      <c r="F249" s="57">
        <f>D249 * 0.2336249842</f>
        <v>0</v>
      </c>
      <c r="G249" s="57">
        <f>D249 * 0.0003503944</f>
        <v>0</v>
      </c>
      <c r="H249" s="57">
        <f>D249 * 0.0033162328</f>
        <v>0</v>
      </c>
      <c r="P249" s="64" t="s">
        <v>825</v>
      </c>
    </row>
    <row r="250" spans="1:16" x14ac:dyDescent="0.25">
      <c r="A250" s="95"/>
      <c r="B250" s="52" t="s">
        <v>681</v>
      </c>
      <c r="C250" s="52" t="s">
        <v>626</v>
      </c>
      <c r="D250" s="50"/>
      <c r="E250" s="56">
        <f t="shared" si="1"/>
        <v>0</v>
      </c>
      <c r="F250" s="57">
        <f>D250 * 0.0853359773</f>
        <v>0</v>
      </c>
      <c r="G250" s="57">
        <f>D250 * 0.001136534</f>
        <v>0</v>
      </c>
      <c r="H250" s="57">
        <f>D250 * 0.0026076322</f>
        <v>0</v>
      </c>
      <c r="P250" s="64" t="s">
        <v>826</v>
      </c>
    </row>
    <row r="251" spans="1:16" x14ac:dyDescent="0.25">
      <c r="A251" s="95"/>
      <c r="B251" s="52" t="s">
        <v>687</v>
      </c>
      <c r="C251" s="52" t="s">
        <v>626</v>
      </c>
      <c r="D251" s="50"/>
      <c r="E251" s="56">
        <f t="shared" si="1"/>
        <v>0</v>
      </c>
      <c r="F251" s="57">
        <f>D251 * 0.0086758909</f>
        <v>0</v>
      </c>
      <c r="G251" s="57">
        <f>D251 * 0.0003210747</f>
        <v>0</v>
      </c>
      <c r="H251" s="57">
        <f>D251 * 0.0000093925</f>
        <v>0</v>
      </c>
      <c r="P251" s="64" t="s">
        <v>827</v>
      </c>
    </row>
    <row r="252" spans="1:16" x14ac:dyDescent="0.25">
      <c r="A252" s="95"/>
      <c r="B252" s="52" t="s">
        <v>693</v>
      </c>
      <c r="C252" s="52" t="s">
        <v>626</v>
      </c>
      <c r="D252" s="50"/>
      <c r="E252" s="56">
        <f t="shared" si="1"/>
        <v>0</v>
      </c>
      <c r="F252" s="57">
        <f>D252 * 0.1083524768</f>
        <v>0</v>
      </c>
      <c r="G252" s="57">
        <f>D252 * 0.0001625087</f>
        <v>0</v>
      </c>
      <c r="H252" s="57">
        <f>D252 * 0.0015380291</f>
        <v>0</v>
      </c>
      <c r="P252" s="64" t="s">
        <v>828</v>
      </c>
    </row>
    <row r="253" spans="1:16" x14ac:dyDescent="0.25">
      <c r="A253" s="95"/>
      <c r="B253" s="52" t="s">
        <v>699</v>
      </c>
      <c r="C253" s="52" t="s">
        <v>626</v>
      </c>
      <c r="D253" s="50"/>
      <c r="E253" s="56">
        <f t="shared" si="1"/>
        <v>0</v>
      </c>
      <c r="F253" s="57">
        <f>D253 * 0.0087080539</f>
        <v>0</v>
      </c>
      <c r="G253" s="57">
        <f>D253 * 0.000322265</f>
        <v>0</v>
      </c>
      <c r="H253" s="57">
        <f>D253 * 0.0000094274</f>
        <v>0</v>
      </c>
      <c r="P253" s="64" t="s">
        <v>829</v>
      </c>
    </row>
    <row r="254" spans="1:16" x14ac:dyDescent="0.25">
      <c r="A254" s="95"/>
      <c r="B254" s="52" t="s">
        <v>830</v>
      </c>
      <c r="C254" s="52" t="s">
        <v>626</v>
      </c>
      <c r="D254" s="50"/>
      <c r="E254" s="56">
        <f t="shared" si="1"/>
        <v>0</v>
      </c>
      <c r="F254" s="57">
        <f>D254 * 0.0182011698</f>
        <v>0</v>
      </c>
      <c r="G254" s="57">
        <f>D254 * 0.0006735833</f>
        <v>0</v>
      </c>
      <c r="H254" s="57">
        <f>D254 * 0.0000197046</f>
        <v>0</v>
      </c>
      <c r="P254" s="64" t="s">
        <v>831</v>
      </c>
    </row>
    <row r="255" spans="1:16" x14ac:dyDescent="0.25">
      <c r="A255" s="95" t="s">
        <v>832</v>
      </c>
      <c r="B255" s="52" t="s">
        <v>819</v>
      </c>
      <c r="C255" s="52" t="s">
        <v>626</v>
      </c>
      <c r="D255" s="50"/>
      <c r="E255" s="56">
        <f t="shared" si="1"/>
        <v>0</v>
      </c>
      <c r="F255" s="57">
        <f>D255 * 0.1753801896</f>
        <v>0</v>
      </c>
      <c r="G255" s="57">
        <f>D255 * 0.0023357739</f>
        <v>0</v>
      </c>
      <c r="H255" s="57">
        <f>D255 * 0.005359135</f>
        <v>0</v>
      </c>
      <c r="P255" s="64" t="s">
        <v>833</v>
      </c>
    </row>
    <row r="256" spans="1:16" x14ac:dyDescent="0.25">
      <c r="A256" s="95"/>
      <c r="B256" s="52" t="s">
        <v>89</v>
      </c>
      <c r="C256" s="52" t="s">
        <v>626</v>
      </c>
      <c r="D256" s="50"/>
      <c r="E256" s="56">
        <f t="shared" si="1"/>
        <v>0</v>
      </c>
      <c r="F256" s="57">
        <f>D256 * 0.1789778964</f>
        <v>0</v>
      </c>
      <c r="G256" s="57">
        <f>D256 * 0.0002684338</f>
        <v>0</v>
      </c>
      <c r="H256" s="57">
        <f>D256 * 0.0025405346</f>
        <v>0</v>
      </c>
      <c r="P256" s="64" t="s">
        <v>834</v>
      </c>
    </row>
    <row r="257" spans="1:16" x14ac:dyDescent="0.25">
      <c r="A257" s="95"/>
      <c r="B257" s="52" t="s">
        <v>822</v>
      </c>
      <c r="C257" s="52" t="s">
        <v>626</v>
      </c>
      <c r="D257" s="50"/>
      <c r="E257" s="56">
        <f t="shared" si="1"/>
        <v>0</v>
      </c>
      <c r="F257" s="57">
        <f>D257 * 0.1384580444</f>
        <v>0</v>
      </c>
      <c r="G257" s="57">
        <f>D257 * 0.0018440321</f>
        <v>0</v>
      </c>
      <c r="H257" s="57">
        <f>D257 * 0.0042308961</f>
        <v>0</v>
      </c>
      <c r="P257" s="64" t="s">
        <v>835</v>
      </c>
    </row>
    <row r="258" spans="1:16" x14ac:dyDescent="0.25">
      <c r="A258" s="95"/>
      <c r="B258" s="52" t="s">
        <v>824</v>
      </c>
      <c r="C258" s="52" t="s">
        <v>626</v>
      </c>
      <c r="D258" s="50"/>
      <c r="E258" s="56">
        <f t="shared" si="1"/>
        <v>0</v>
      </c>
      <c r="F258" s="57">
        <f>D258 * 0.1588352977</f>
        <v>0</v>
      </c>
      <c r="G258" s="57">
        <f>D258 * 0.0002382237</f>
        <v>0</v>
      </c>
      <c r="H258" s="57">
        <f>D258 * 0.0022546168</f>
        <v>0</v>
      </c>
      <c r="P258" s="64" t="s">
        <v>836</v>
      </c>
    </row>
    <row r="259" spans="1:16" x14ac:dyDescent="0.25">
      <c r="A259" s="95"/>
      <c r="B259" s="52" t="s">
        <v>681</v>
      </c>
      <c r="C259" s="52" t="s">
        <v>626</v>
      </c>
      <c r="D259" s="50"/>
      <c r="E259" s="56">
        <f t="shared" si="1"/>
        <v>0</v>
      </c>
      <c r="F259" s="57">
        <f>D259 * 0.0724597099</f>
        <v>0</v>
      </c>
      <c r="G259" s="57">
        <f>D259 * 0.0009650434</f>
        <v>0</v>
      </c>
      <c r="H259" s="57">
        <f>D259 * 0.0022141689</f>
        <v>0</v>
      </c>
      <c r="P259" s="64" t="s">
        <v>837</v>
      </c>
    </row>
    <row r="260" spans="1:16" x14ac:dyDescent="0.25">
      <c r="A260" s="95"/>
      <c r="B260" s="52" t="s">
        <v>687</v>
      </c>
      <c r="C260" s="52" t="s">
        <v>626</v>
      </c>
      <c r="D260" s="50"/>
      <c r="E260" s="56">
        <f t="shared" si="1"/>
        <v>0</v>
      </c>
      <c r="F260" s="57">
        <f>D260 * 0.0074727735</f>
        <v>0</v>
      </c>
      <c r="G260" s="57">
        <f>D260 * 0.0002765501</f>
        <v>0</v>
      </c>
      <c r="H260" s="57">
        <f>D260 * 0.00000809</f>
        <v>0</v>
      </c>
      <c r="P260" s="64" t="s">
        <v>838</v>
      </c>
    </row>
    <row r="261" spans="1:16" x14ac:dyDescent="0.25">
      <c r="A261" s="95"/>
      <c r="B261" s="52" t="s">
        <v>693</v>
      </c>
      <c r="C261" s="52" t="s">
        <v>626</v>
      </c>
      <c r="D261" s="50"/>
      <c r="E261" s="56">
        <f t="shared" si="1"/>
        <v>0</v>
      </c>
      <c r="F261" s="57">
        <f>D261 * 0.0831238058</f>
        <v>0</v>
      </c>
      <c r="G261" s="57">
        <f>D261 * 0.0001246704</f>
        <v>0</v>
      </c>
      <c r="H261" s="57">
        <f>D261 * 0.0011799161</f>
        <v>0</v>
      </c>
      <c r="P261" s="64" t="s">
        <v>839</v>
      </c>
    </row>
    <row r="262" spans="1:16" x14ac:dyDescent="0.25">
      <c r="A262" s="95"/>
      <c r="B262" s="52" t="s">
        <v>699</v>
      </c>
      <c r="C262" s="52" t="s">
        <v>626</v>
      </c>
      <c r="D262" s="50"/>
      <c r="E262" s="56">
        <f t="shared" si="1"/>
        <v>0</v>
      </c>
      <c r="F262" s="57">
        <f>D262 * 0.0073604664</f>
        <v>0</v>
      </c>
      <c r="G262" s="57">
        <f>D262 * 0.0002723939</f>
        <v>0</v>
      </c>
      <c r="H262" s="57">
        <f>D262 * 0.0000079685</f>
        <v>0</v>
      </c>
      <c r="P262" s="64" t="s">
        <v>840</v>
      </c>
    </row>
    <row r="263" spans="1:16" x14ac:dyDescent="0.25">
      <c r="A263" s="95"/>
      <c r="B263" s="52" t="s">
        <v>830</v>
      </c>
      <c r="C263" s="52" t="s">
        <v>626</v>
      </c>
      <c r="D263" s="50"/>
      <c r="E263" s="56">
        <f t="shared" si="1"/>
        <v>0</v>
      </c>
      <c r="F263" s="57">
        <f>D263 * 0.0156771472</f>
        <v>0</v>
      </c>
      <c r="G263" s="57">
        <f>D263 * 0.0005801751</f>
        <v>0</v>
      </c>
      <c r="H263" s="57">
        <f>D263 * 0.0000169721</f>
        <v>0</v>
      </c>
      <c r="P263" s="64" t="s">
        <v>841</v>
      </c>
    </row>
    <row r="264" spans="1:16" x14ac:dyDescent="0.25">
      <c r="A264" s="95" t="s">
        <v>842</v>
      </c>
      <c r="B264" s="52" t="s">
        <v>843</v>
      </c>
      <c r="C264" s="52" t="s">
        <v>626</v>
      </c>
      <c r="D264" s="50"/>
      <c r="E264" s="56">
        <f t="shared" si="1"/>
        <v>0</v>
      </c>
      <c r="F264" s="57">
        <f>D264 * 0.1547841486</f>
        <v>0</v>
      </c>
      <c r="G264" s="57">
        <f>D264 * 0.0014857749</f>
        <v>0</v>
      </c>
      <c r="H264" s="57">
        <f>D264 * 0.0036493816</f>
        <v>0</v>
      </c>
      <c r="P264" s="64" t="s">
        <v>844</v>
      </c>
    </row>
    <row r="265" spans="1:16" x14ac:dyDescent="0.25">
      <c r="A265" s="95"/>
      <c r="B265" s="52" t="s">
        <v>845</v>
      </c>
      <c r="C265" s="52" t="s">
        <v>846</v>
      </c>
      <c r="D265" s="50"/>
      <c r="E265" s="56">
        <f t="shared" si="1"/>
        <v>0</v>
      </c>
      <c r="F265" s="57">
        <f>D265 * 0.0439727695</f>
        <v>0</v>
      </c>
      <c r="G265" s="57">
        <f>D265 * 0.0004220951</f>
        <v>0</v>
      </c>
      <c r="H265" s="57">
        <f>D265 * 0.0010367561</f>
        <v>0</v>
      </c>
      <c r="P265" s="64" t="s">
        <v>847</v>
      </c>
    </row>
    <row r="266" spans="1:16" x14ac:dyDescent="0.25">
      <c r="A266" s="95"/>
      <c r="B266" s="52" t="s">
        <v>822</v>
      </c>
      <c r="C266" s="52" t="s">
        <v>626</v>
      </c>
      <c r="D266" s="50"/>
      <c r="E266" s="56">
        <f t="shared" si="1"/>
        <v>0</v>
      </c>
      <c r="F266" s="57">
        <f>D266 * 0.163062377</f>
        <v>0</v>
      </c>
      <c r="G266" s="57">
        <f>D266 * 0.0021717211</f>
        <v>0</v>
      </c>
      <c r="H266" s="57">
        <f>D266 * 0.0049827366</f>
        <v>0</v>
      </c>
      <c r="P266" s="64" t="s">
        <v>848</v>
      </c>
    </row>
    <row r="267" spans="1:16" x14ac:dyDescent="0.25">
      <c r="A267" s="95"/>
      <c r="B267" s="52" t="s">
        <v>849</v>
      </c>
      <c r="C267" s="52" t="s">
        <v>846</v>
      </c>
      <c r="D267" s="50"/>
      <c r="E267" s="56">
        <f t="shared" si="1"/>
        <v>0</v>
      </c>
      <c r="F267" s="57">
        <f>D267 * 0.0463245389</f>
        <v>0</v>
      </c>
      <c r="G267" s="57">
        <f>D267 * 0.0006169662</f>
        <v>0</v>
      </c>
      <c r="H267" s="57">
        <f>D267 * 0.0014155502</f>
        <v>0</v>
      </c>
      <c r="P267" s="64" t="s">
        <v>850</v>
      </c>
    </row>
    <row r="268" spans="1:16" x14ac:dyDescent="0.25">
      <c r="A268" s="95"/>
      <c r="B268" s="52" t="s">
        <v>830</v>
      </c>
      <c r="C268" s="52" t="s">
        <v>626</v>
      </c>
      <c r="D268" s="50"/>
      <c r="E268" s="56">
        <f t="shared" si="1"/>
        <v>0</v>
      </c>
      <c r="F268" s="57">
        <f>D268 * 0.0182011698</f>
        <v>0</v>
      </c>
      <c r="G268" s="57">
        <f>D268 * 0.0006735833</f>
        <v>0</v>
      </c>
      <c r="H268" s="57">
        <f>D268 * 0.0000197046</f>
        <v>0</v>
      </c>
      <c r="P268" s="64" t="s">
        <v>851</v>
      </c>
    </row>
    <row r="269" spans="1:16" x14ac:dyDescent="0.25">
      <c r="A269" s="95"/>
      <c r="B269" s="52" t="s">
        <v>852</v>
      </c>
      <c r="C269" s="52" t="s">
        <v>846</v>
      </c>
      <c r="D269" s="50"/>
      <c r="E269" s="56">
        <f t="shared" si="1"/>
        <v>0</v>
      </c>
      <c r="F269" s="57">
        <f>D269 * 0.0051707869</f>
        <v>0</v>
      </c>
      <c r="G269" s="57">
        <f>D269 * 0.0001913589</f>
        <v>0</v>
      </c>
      <c r="H269" s="57">
        <f>D269 * 0.0000055979</f>
        <v>0</v>
      </c>
      <c r="P269" s="64" t="s">
        <v>853</v>
      </c>
    </row>
    <row r="270" spans="1:16" x14ac:dyDescent="0.25">
      <c r="D270" s="65" t="s">
        <v>116</v>
      </c>
      <c r="E270" s="56">
        <f>SUM(E246:E269)</f>
        <v>0</v>
      </c>
      <c r="F270" s="57">
        <f>SUM(F246:F269)</f>
        <v>0</v>
      </c>
      <c r="G270" s="57">
        <f>SUM(G246:G269)</f>
        <v>0</v>
      </c>
      <c r="H270" s="57">
        <f>SUM(H246:H269)</f>
        <v>0</v>
      </c>
    </row>
    <row r="272" spans="1:16" x14ac:dyDescent="0.25">
      <c r="A272" s="92" t="s">
        <v>854</v>
      </c>
      <c r="B272" s="92"/>
      <c r="C272" s="92"/>
      <c r="D272" s="92"/>
      <c r="E272" s="92"/>
      <c r="F272" s="92"/>
      <c r="G272" s="92"/>
      <c r="H272" s="92"/>
      <c r="I272" s="92"/>
      <c r="J272" s="92"/>
    </row>
    <row r="273" spans="1:16" x14ac:dyDescent="0.25">
      <c r="A273" s="93" t="s">
        <v>60</v>
      </c>
      <c r="B273" s="93"/>
      <c r="C273" s="59" t="s">
        <v>61</v>
      </c>
      <c r="D273" s="60" t="s">
        <v>62</v>
      </c>
      <c r="E273" s="58" t="s">
        <v>63</v>
      </c>
      <c r="F273" s="58" t="s">
        <v>64</v>
      </c>
      <c r="G273" s="58" t="s">
        <v>65</v>
      </c>
      <c r="H273" s="58" t="s">
        <v>66</v>
      </c>
      <c r="I273" s="59" t="s">
        <v>240</v>
      </c>
      <c r="J273" s="59" t="s">
        <v>67</v>
      </c>
      <c r="P273" s="61" t="s">
        <v>68</v>
      </c>
    </row>
    <row r="274" spans="1:16" x14ac:dyDescent="0.25">
      <c r="A274" s="95" t="s">
        <v>606</v>
      </c>
      <c r="B274" s="52" t="s">
        <v>855</v>
      </c>
      <c r="C274" s="52" t="s">
        <v>626</v>
      </c>
      <c r="D274" s="50"/>
      <c r="E274" s="56">
        <f t="shared" ref="E274:E282" si="2">F274 + G274 + H274</f>
        <v>0</v>
      </c>
      <c r="F274" s="57">
        <f>D274 * 0.5541015702</f>
        <v>0</v>
      </c>
      <c r="G274" s="57">
        <f>D274 * 0.0008310502</f>
        <v>0</v>
      </c>
      <c r="H274" s="57">
        <f>D274 * 0.0078652966</f>
        <v>0</v>
      </c>
      <c r="I274" s="52" t="s">
        <v>856</v>
      </c>
      <c r="J274" s="52" t="s">
        <v>176</v>
      </c>
      <c r="P274" s="64" t="s">
        <v>857</v>
      </c>
    </row>
    <row r="275" spans="1:16" x14ac:dyDescent="0.25">
      <c r="A275" s="95"/>
      <c r="B275" s="52" t="s">
        <v>858</v>
      </c>
      <c r="C275" s="52" t="s">
        <v>626</v>
      </c>
      <c r="D275" s="50"/>
      <c r="E275" s="56">
        <f t="shared" si="2"/>
        <v>0</v>
      </c>
      <c r="F275" s="57">
        <f>D275 * 0.7674981241</f>
        <v>0</v>
      </c>
      <c r="G275" s="57">
        <f>D275 * 0.0011511057</f>
        <v>0</v>
      </c>
      <c r="H275" s="57">
        <f>D275 * 0.0108943932</f>
        <v>0</v>
      </c>
      <c r="I275" s="52" t="s">
        <v>856</v>
      </c>
      <c r="J275" s="52" t="s">
        <v>176</v>
      </c>
      <c r="P275" s="64" t="s">
        <v>859</v>
      </c>
    </row>
    <row r="276" spans="1:16" x14ac:dyDescent="0.25">
      <c r="A276" s="95"/>
      <c r="B276" s="52" t="s">
        <v>860</v>
      </c>
      <c r="C276" s="52" t="s">
        <v>626</v>
      </c>
      <c r="D276" s="50"/>
      <c r="E276" s="56">
        <f t="shared" si="2"/>
        <v>0</v>
      </c>
      <c r="F276" s="57">
        <f>D276 * 1.0637242131</f>
        <v>0</v>
      </c>
      <c r="G276" s="57">
        <f>D276 * 0.0015953902</f>
        <v>0</v>
      </c>
      <c r="H276" s="57">
        <f>D276 * 0.0150992289</f>
        <v>0</v>
      </c>
      <c r="I276" s="52" t="s">
        <v>856</v>
      </c>
      <c r="J276" s="52" t="s">
        <v>176</v>
      </c>
      <c r="P276" s="64" t="s">
        <v>861</v>
      </c>
    </row>
    <row r="277" spans="1:16" x14ac:dyDescent="0.25">
      <c r="A277" s="95" t="s">
        <v>862</v>
      </c>
      <c r="B277" s="52" t="s">
        <v>855</v>
      </c>
      <c r="C277" s="52" t="s">
        <v>626</v>
      </c>
      <c r="D277" s="50"/>
      <c r="E277" s="56">
        <f t="shared" si="2"/>
        <v>0</v>
      </c>
      <c r="F277" s="57">
        <f>D277 * 0.3921090454</f>
        <v>0</v>
      </c>
      <c r="G277" s="57">
        <f>D277 * 0.0005880913</f>
        <v>0</v>
      </c>
      <c r="H277" s="57">
        <f>D277 * 0.0055658639</f>
        <v>0</v>
      </c>
      <c r="I277" s="52" t="s">
        <v>856</v>
      </c>
      <c r="J277" s="52" t="s">
        <v>176</v>
      </c>
      <c r="P277" s="64" t="s">
        <v>863</v>
      </c>
    </row>
    <row r="278" spans="1:16" x14ac:dyDescent="0.25">
      <c r="A278" s="95"/>
      <c r="B278" s="52" t="s">
        <v>858</v>
      </c>
      <c r="C278" s="52" t="s">
        <v>626</v>
      </c>
      <c r="D278" s="50"/>
      <c r="E278" s="56">
        <f t="shared" si="2"/>
        <v>0</v>
      </c>
      <c r="F278" s="57">
        <f>D278 * 0.5431187583</f>
        <v>0</v>
      </c>
      <c r="G278" s="57">
        <f>D278 * 0.000814578</f>
        <v>0</v>
      </c>
      <c r="H278" s="57">
        <f>D278 * 0.007709399</f>
        <v>0</v>
      </c>
      <c r="I278" s="52" t="s">
        <v>856</v>
      </c>
      <c r="J278" s="52" t="s">
        <v>176</v>
      </c>
      <c r="P278" s="64" t="s">
        <v>864</v>
      </c>
    </row>
    <row r="279" spans="1:16" x14ac:dyDescent="0.25">
      <c r="A279" s="95"/>
      <c r="B279" s="52" t="s">
        <v>860</v>
      </c>
      <c r="C279" s="52" t="s">
        <v>626</v>
      </c>
      <c r="D279" s="50"/>
      <c r="E279" s="56">
        <f t="shared" si="2"/>
        <v>0</v>
      </c>
      <c r="F279" s="57">
        <f>D279 * 0.7527426526</f>
        <v>0</v>
      </c>
      <c r="G279" s="57">
        <f>D279 * 0.0011289752</f>
        <v>0</v>
      </c>
      <c r="H279" s="57">
        <f>D279 * 0.0106849439</f>
        <v>0</v>
      </c>
      <c r="I279" s="52" t="s">
        <v>856</v>
      </c>
      <c r="J279" s="52" t="s">
        <v>176</v>
      </c>
      <c r="P279" s="64" t="s">
        <v>865</v>
      </c>
    </row>
    <row r="280" spans="1:16" x14ac:dyDescent="0.25">
      <c r="A280" s="95" t="s">
        <v>866</v>
      </c>
      <c r="B280" s="52" t="s">
        <v>855</v>
      </c>
      <c r="C280" s="52" t="s">
        <v>626</v>
      </c>
      <c r="D280" s="50"/>
      <c r="E280" s="56">
        <f t="shared" si="2"/>
        <v>0</v>
      </c>
      <c r="F280" s="57">
        <f>D280 * 0.0434710681</f>
        <v>0</v>
      </c>
      <c r="G280" s="57">
        <f>D280 * 0.0016087641</f>
        <v>0</v>
      </c>
      <c r="H280" s="57">
        <f>D280 * 0.0000470619</f>
        <v>0</v>
      </c>
      <c r="I280" s="52" t="s">
        <v>856</v>
      </c>
      <c r="J280" s="52" t="s">
        <v>176</v>
      </c>
      <c r="P280" s="64" t="s">
        <v>867</v>
      </c>
    </row>
    <row r="281" spans="1:16" x14ac:dyDescent="0.25">
      <c r="A281" s="95"/>
      <c r="B281" s="52" t="s">
        <v>858</v>
      </c>
      <c r="C281" s="52" t="s">
        <v>626</v>
      </c>
      <c r="D281" s="50"/>
      <c r="E281" s="56">
        <f t="shared" si="2"/>
        <v>0</v>
      </c>
      <c r="F281" s="57">
        <f>D281 * 0.0602127209</f>
        <v>0</v>
      </c>
      <c r="G281" s="57">
        <f>D281 * 0.002228334</f>
        <v>0</v>
      </c>
      <c r="H281" s="57">
        <f>D281 * 0.0000651864</f>
        <v>0</v>
      </c>
      <c r="I281" s="52" t="s">
        <v>856</v>
      </c>
      <c r="J281" s="52" t="s">
        <v>176</v>
      </c>
      <c r="P281" s="64" t="s">
        <v>868</v>
      </c>
    </row>
    <row r="282" spans="1:16" x14ac:dyDescent="0.25">
      <c r="A282" s="95"/>
      <c r="B282" s="52" t="s">
        <v>860</v>
      </c>
      <c r="C282" s="52" t="s">
        <v>626</v>
      </c>
      <c r="D282" s="50"/>
      <c r="E282" s="56">
        <f t="shared" si="2"/>
        <v>0</v>
      </c>
      <c r="F282" s="57">
        <f>D282 * 0.0834526198</f>
        <v>0</v>
      </c>
      <c r="G282" s="57">
        <f>D282 * 0.0030883891</f>
        <v>0</v>
      </c>
      <c r="H282" s="57">
        <f>D282 * 0.000090346</f>
        <v>0</v>
      </c>
      <c r="I282" s="52" t="s">
        <v>856</v>
      </c>
      <c r="J282" s="52" t="s">
        <v>176</v>
      </c>
      <c r="P282" s="64" t="s">
        <v>869</v>
      </c>
    </row>
    <row r="283" spans="1:16" x14ac:dyDescent="0.25">
      <c r="D283" s="65" t="s">
        <v>116</v>
      </c>
      <c r="E283" s="76">
        <f>SUM(E274:E282)</f>
        <v>0</v>
      </c>
      <c r="F283" s="57">
        <f>SUM(F274:F282)</f>
        <v>0</v>
      </c>
      <c r="G283" s="57">
        <f>SUM(G274:G282)</f>
        <v>0</v>
      </c>
      <c r="H283" s="57">
        <f>SUM(H274:H282)</f>
        <v>0</v>
      </c>
    </row>
    <row r="285" spans="1:16" x14ac:dyDescent="0.25">
      <c r="A285" s="92" t="s">
        <v>870</v>
      </c>
      <c r="B285" s="92"/>
      <c r="C285" s="92"/>
      <c r="D285" s="92"/>
      <c r="E285" s="92"/>
      <c r="F285" s="92"/>
      <c r="G285" s="92"/>
      <c r="H285" s="92"/>
      <c r="I285" s="92"/>
    </row>
    <row r="286" spans="1:16" x14ac:dyDescent="0.25">
      <c r="A286" s="93" t="s">
        <v>871</v>
      </c>
      <c r="B286" s="93"/>
      <c r="C286" s="59" t="s">
        <v>61</v>
      </c>
      <c r="D286" s="60" t="s">
        <v>62</v>
      </c>
      <c r="E286" s="58" t="s">
        <v>63</v>
      </c>
      <c r="F286" s="58" t="s">
        <v>64</v>
      </c>
      <c r="G286" s="58" t="s">
        <v>65</v>
      </c>
      <c r="H286" s="58" t="s">
        <v>66</v>
      </c>
      <c r="I286" s="59" t="s">
        <v>67</v>
      </c>
      <c r="P286" s="61" t="s">
        <v>68</v>
      </c>
    </row>
    <row r="287" spans="1:16" x14ac:dyDescent="0.25">
      <c r="A287" s="95" t="s">
        <v>60</v>
      </c>
      <c r="B287" s="94" t="s">
        <v>872</v>
      </c>
      <c r="C287" s="94"/>
      <c r="D287" s="94"/>
      <c r="E287" s="94"/>
      <c r="F287" s="94"/>
      <c r="G287" s="94"/>
      <c r="H287" s="94"/>
      <c r="I287" s="94"/>
    </row>
    <row r="288" spans="1:16" x14ac:dyDescent="0.25">
      <c r="A288" s="95"/>
      <c r="B288" s="52" t="s">
        <v>873</v>
      </c>
      <c r="C288" s="52" t="s">
        <v>601</v>
      </c>
      <c r="D288" s="50"/>
      <c r="E288" s="56">
        <f>F288 + G288 + H288</f>
        <v>0</v>
      </c>
      <c r="F288" s="57">
        <f>D288 * 0.1931846308</f>
        <v>0</v>
      </c>
      <c r="G288" s="57">
        <f>D288 * 0.0000222124</f>
        <v>0</v>
      </c>
      <c r="H288" s="57">
        <f>D288 * 0.0008408992</f>
        <v>0</v>
      </c>
      <c r="I288" s="52" t="s">
        <v>176</v>
      </c>
      <c r="P288" s="64" t="s">
        <v>874</v>
      </c>
    </row>
    <row r="289" spans="1:16" x14ac:dyDescent="0.25">
      <c r="A289" s="95"/>
      <c r="B289" s="52" t="s">
        <v>875</v>
      </c>
      <c r="C289" s="52" t="s">
        <v>601</v>
      </c>
      <c r="D289" s="50"/>
      <c r="E289" s="56">
        <f>F289 + G289 + H289</f>
        <v>0</v>
      </c>
      <c r="F289" s="57">
        <f>D289 * 0.1756420607</f>
        <v>0</v>
      </c>
      <c r="G289" s="57">
        <f>D289 * 0.0000201954</f>
        <v>0</v>
      </c>
      <c r="H289" s="57">
        <f>D289 * 0.0007645395</f>
        <v>0</v>
      </c>
      <c r="I289" s="52" t="s">
        <v>176</v>
      </c>
      <c r="P289" s="64" t="s">
        <v>876</v>
      </c>
    </row>
    <row r="290" spans="1:16" x14ac:dyDescent="0.25">
      <c r="A290" s="95"/>
      <c r="B290" s="52" t="s">
        <v>877</v>
      </c>
      <c r="C290" s="52" t="s">
        <v>601</v>
      </c>
      <c r="D290" s="50"/>
      <c r="E290" s="56">
        <f>F290 + G290 + H290</f>
        <v>0</v>
      </c>
      <c r="F290" s="57">
        <f>D290 * 0.2019668587</f>
        <v>0</v>
      </c>
      <c r="G290" s="57">
        <f>D290 * 0.0000232222</f>
        <v>0</v>
      </c>
      <c r="H290" s="57">
        <f>D290 * 0.0008791267</f>
        <v>0</v>
      </c>
      <c r="I290" s="52" t="s">
        <v>176</v>
      </c>
      <c r="P290" s="64" t="s">
        <v>878</v>
      </c>
    </row>
    <row r="291" spans="1:16" x14ac:dyDescent="0.25">
      <c r="A291" s="95"/>
      <c r="B291" s="52" t="s">
        <v>879</v>
      </c>
      <c r="C291" s="52" t="s">
        <v>601</v>
      </c>
      <c r="D291" s="50"/>
      <c r="E291" s="56">
        <f>F291 + G291 + H291</f>
        <v>0</v>
      </c>
      <c r="F291" s="57">
        <f>D291 * 0.5789123077</f>
        <v>0</v>
      </c>
      <c r="G291" s="57">
        <f>D291 * 0.0028841629</f>
        <v>0</v>
      </c>
      <c r="H291" s="57">
        <f>D291 * 0.009041629</f>
        <v>0</v>
      </c>
      <c r="I291" s="52" t="s">
        <v>176</v>
      </c>
      <c r="P291" s="64" t="s">
        <v>880</v>
      </c>
    </row>
    <row r="292" spans="1:16" x14ac:dyDescent="0.25">
      <c r="D292" s="65" t="s">
        <v>116</v>
      </c>
      <c r="E292" s="76">
        <f>SUM(E287:E291)</f>
        <v>0</v>
      </c>
      <c r="F292" s="57">
        <f>SUM(F287:F291)</f>
        <v>0</v>
      </c>
      <c r="G292" s="57">
        <f>SUM(G287:G291)</f>
        <v>0</v>
      </c>
      <c r="H292" s="57">
        <f>SUM(H287:H291)</f>
        <v>0</v>
      </c>
    </row>
    <row r="294" spans="1:16" x14ac:dyDescent="0.25">
      <c r="A294" s="92" t="s">
        <v>870</v>
      </c>
      <c r="B294" s="92"/>
      <c r="C294" s="92"/>
      <c r="D294" s="92"/>
      <c r="E294" s="92"/>
      <c r="F294" s="92"/>
      <c r="G294" s="92"/>
      <c r="H294" s="92"/>
      <c r="I294" s="92"/>
    </row>
    <row r="295" spans="1:16" x14ac:dyDescent="0.25">
      <c r="A295" s="93" t="s">
        <v>881</v>
      </c>
      <c r="B295" s="93"/>
      <c r="C295" s="59" t="s">
        <v>61</v>
      </c>
      <c r="D295" s="60" t="s">
        <v>62</v>
      </c>
      <c r="E295" s="58" t="s">
        <v>63</v>
      </c>
      <c r="F295" s="58" t="s">
        <v>64</v>
      </c>
      <c r="G295" s="58" t="s">
        <v>65</v>
      </c>
      <c r="H295" s="58" t="s">
        <v>66</v>
      </c>
      <c r="I295" s="59" t="s">
        <v>67</v>
      </c>
      <c r="P295" s="61" t="s">
        <v>68</v>
      </c>
    </row>
    <row r="296" spans="1:16" x14ac:dyDescent="0.25">
      <c r="A296" s="95" t="s">
        <v>60</v>
      </c>
      <c r="B296" s="94" t="s">
        <v>872</v>
      </c>
      <c r="C296" s="94"/>
      <c r="D296" s="94"/>
      <c r="E296" s="94"/>
      <c r="F296" s="94"/>
      <c r="G296" s="94"/>
      <c r="H296" s="94"/>
      <c r="I296" s="94"/>
    </row>
    <row r="297" spans="1:16" x14ac:dyDescent="0.25">
      <c r="A297" s="95"/>
      <c r="B297" s="52" t="s">
        <v>873</v>
      </c>
      <c r="C297" s="52" t="s">
        <v>601</v>
      </c>
      <c r="D297" s="50"/>
      <c r="E297" s="56">
        <f>F297 + G297 + H297</f>
        <v>0</v>
      </c>
      <c r="F297" s="57">
        <f>D297 * 0.1136380181</f>
        <v>0</v>
      </c>
      <c r="G297" s="57">
        <f>D297 * 0.0000222124</f>
        <v>0</v>
      </c>
      <c r="H297" s="57">
        <f>D297 * 0.0008408992</f>
        <v>0</v>
      </c>
      <c r="I297" s="52" t="s">
        <v>176</v>
      </c>
      <c r="P297" s="64" t="s">
        <v>882</v>
      </c>
    </row>
    <row r="298" spans="1:16" x14ac:dyDescent="0.25">
      <c r="A298" s="95"/>
      <c r="B298" s="52" t="s">
        <v>875</v>
      </c>
      <c r="C298" s="52" t="s">
        <v>601</v>
      </c>
      <c r="D298" s="50"/>
      <c r="E298" s="56">
        <f>F298 + G298 + H298</f>
        <v>0</v>
      </c>
      <c r="F298" s="57">
        <f>D298 * 0.1033188592</f>
        <v>0</v>
      </c>
      <c r="G298" s="57">
        <f>D298 * 0.0000201954</f>
        <v>0</v>
      </c>
      <c r="H298" s="57">
        <f>D298 * 0.0007645395</f>
        <v>0</v>
      </c>
      <c r="I298" s="52" t="s">
        <v>176</v>
      </c>
      <c r="P298" s="64" t="s">
        <v>883</v>
      </c>
    </row>
    <row r="299" spans="1:16" x14ac:dyDescent="0.25">
      <c r="A299" s="95"/>
      <c r="B299" s="52" t="s">
        <v>877</v>
      </c>
      <c r="C299" s="52" t="s">
        <v>601</v>
      </c>
      <c r="D299" s="50"/>
      <c r="E299" s="56">
        <f>F299 + G299 + H299</f>
        <v>0</v>
      </c>
      <c r="F299" s="57">
        <f>D299 * 0.1188040345</f>
        <v>0</v>
      </c>
      <c r="G299" s="57">
        <f>D299 * 0.0000232222</f>
        <v>0</v>
      </c>
      <c r="H299" s="57">
        <f>D299 * 0.0008791267</f>
        <v>0</v>
      </c>
      <c r="I299" s="52" t="s">
        <v>176</v>
      </c>
      <c r="P299" s="64" t="s">
        <v>884</v>
      </c>
    </row>
    <row r="300" spans="1:16" x14ac:dyDescent="0.25">
      <c r="A300" s="95"/>
      <c r="B300" s="52" t="s">
        <v>879</v>
      </c>
      <c r="C300" s="52" t="s">
        <v>601</v>
      </c>
      <c r="D300" s="50"/>
      <c r="E300" s="56">
        <f>F300 + G300 + H300</f>
        <v>0</v>
      </c>
      <c r="F300" s="57">
        <f>D300 * 0.3405366516</f>
        <v>0</v>
      </c>
      <c r="G300" s="57">
        <f>D300 * 0.0028841629</f>
        <v>0</v>
      </c>
      <c r="H300" s="57">
        <f>D300 * 0.009041629</f>
        <v>0</v>
      </c>
      <c r="I300" s="52" t="s">
        <v>176</v>
      </c>
      <c r="P300" s="64" t="s">
        <v>885</v>
      </c>
    </row>
    <row r="301" spans="1:16" x14ac:dyDescent="0.25">
      <c r="D301" s="65" t="s">
        <v>116</v>
      </c>
      <c r="E301" s="76">
        <f>SUM(E296:E300)</f>
        <v>0</v>
      </c>
      <c r="F301" s="57">
        <f>SUM(F296:F300)</f>
        <v>0</v>
      </c>
      <c r="G301" s="57">
        <f>SUM(G296:G300)</f>
        <v>0</v>
      </c>
      <c r="H301" s="57">
        <f>SUM(H296:H300)</f>
        <v>0</v>
      </c>
    </row>
    <row r="303" spans="1:16" x14ac:dyDescent="0.25">
      <c r="A303" s="92" t="s">
        <v>886</v>
      </c>
      <c r="B303" s="92"/>
      <c r="C303" s="92"/>
      <c r="D303" s="92"/>
      <c r="E303" s="92"/>
      <c r="F303" s="92"/>
      <c r="G303" s="92"/>
      <c r="H303" s="92"/>
      <c r="I303" s="92"/>
      <c r="J303" s="92"/>
    </row>
    <row r="304" spans="1:16" x14ac:dyDescent="0.25">
      <c r="A304" s="93" t="s">
        <v>871</v>
      </c>
      <c r="B304" s="93"/>
      <c r="C304" s="59" t="s">
        <v>61</v>
      </c>
      <c r="D304" s="60" t="s">
        <v>62</v>
      </c>
      <c r="E304" s="58" t="s">
        <v>63</v>
      </c>
      <c r="F304" s="58" t="s">
        <v>64</v>
      </c>
      <c r="G304" s="58" t="s">
        <v>65</v>
      </c>
      <c r="H304" s="58" t="s">
        <v>66</v>
      </c>
      <c r="I304" s="59" t="s">
        <v>240</v>
      </c>
      <c r="J304" s="59" t="s">
        <v>67</v>
      </c>
      <c r="P304" s="61" t="s">
        <v>68</v>
      </c>
    </row>
    <row r="305" spans="1:16" x14ac:dyDescent="0.25">
      <c r="A305" s="95" t="s">
        <v>60</v>
      </c>
      <c r="B305" s="94" t="s">
        <v>887</v>
      </c>
      <c r="C305" s="94"/>
      <c r="D305" s="94"/>
      <c r="E305" s="94"/>
      <c r="F305" s="94"/>
      <c r="G305" s="94"/>
      <c r="H305" s="94"/>
      <c r="I305" s="94"/>
      <c r="J305" s="94"/>
    </row>
    <row r="306" spans="1:16" x14ac:dyDescent="0.25">
      <c r="A306" s="95"/>
      <c r="B306" s="52" t="s">
        <v>888</v>
      </c>
      <c r="C306" s="52" t="s">
        <v>601</v>
      </c>
      <c r="D306" s="50"/>
      <c r="E306" s="56">
        <f>F306 + G306 + H306</f>
        <v>0</v>
      </c>
      <c r="F306" s="57">
        <f>D306 * 0.15276</f>
        <v>0</v>
      </c>
      <c r="G306" s="57">
        <f>D306 * 0.0000112</f>
        <v>0</v>
      </c>
      <c r="H306" s="57">
        <f>D306 * 0.0006758389</f>
        <v>0</v>
      </c>
      <c r="I306" s="52" t="s">
        <v>889</v>
      </c>
      <c r="J306" s="52" t="s">
        <v>176</v>
      </c>
      <c r="P306" s="64" t="s">
        <v>890</v>
      </c>
    </row>
    <row r="307" spans="1:16" x14ac:dyDescent="0.25">
      <c r="A307" s="95"/>
      <c r="B307" s="52" t="s">
        <v>891</v>
      </c>
      <c r="C307" s="52" t="s">
        <v>601</v>
      </c>
      <c r="D307" s="50"/>
      <c r="E307" s="56">
        <f>F307 + G307 + H307</f>
        <v>0</v>
      </c>
      <c r="F307" s="57">
        <f>D307 * 0.15026</f>
        <v>0</v>
      </c>
      <c r="G307" s="57">
        <f>D307 * 0.0000112</f>
        <v>0</v>
      </c>
      <c r="H307" s="57">
        <f>D307 * 0.0006669463</f>
        <v>0</v>
      </c>
      <c r="I307" s="52" t="s">
        <v>889</v>
      </c>
      <c r="J307" s="52" t="s">
        <v>176</v>
      </c>
      <c r="P307" s="64" t="s">
        <v>892</v>
      </c>
    </row>
    <row r="308" spans="1:16" x14ac:dyDescent="0.25">
      <c r="A308" s="95"/>
      <c r="B308" s="52" t="s">
        <v>893</v>
      </c>
      <c r="C308" s="52" t="s">
        <v>601</v>
      </c>
      <c r="D308" s="50"/>
      <c r="E308" s="56">
        <f>F308 + G308 + H308</f>
        <v>0</v>
      </c>
      <c r="F308" s="57">
        <f>D308 * 0.22539</f>
        <v>0</v>
      </c>
      <c r="G308" s="57">
        <f>D308 * 0.0000112</f>
        <v>0</v>
      </c>
      <c r="H308" s="57">
        <f>D308 * 0.0009959732</f>
        <v>0</v>
      </c>
      <c r="I308" s="52" t="s">
        <v>889</v>
      </c>
      <c r="J308" s="52" t="s">
        <v>176</v>
      </c>
      <c r="P308" s="64" t="s">
        <v>894</v>
      </c>
    </row>
    <row r="309" spans="1:16" x14ac:dyDescent="0.25">
      <c r="A309" s="95"/>
      <c r="B309" s="94" t="s">
        <v>895</v>
      </c>
      <c r="C309" s="94"/>
      <c r="D309" s="94"/>
      <c r="E309" s="94"/>
      <c r="F309" s="94"/>
      <c r="G309" s="94"/>
      <c r="H309" s="94"/>
      <c r="I309" s="94"/>
      <c r="J309" s="94"/>
    </row>
    <row r="310" spans="1:16" x14ac:dyDescent="0.25">
      <c r="A310" s="95"/>
      <c r="B310" s="52" t="s">
        <v>888</v>
      </c>
      <c r="C310" s="52" t="s">
        <v>601</v>
      </c>
      <c r="D310" s="50"/>
      <c r="E310" s="56">
        <f>F310 + G310 + H310</f>
        <v>0</v>
      </c>
      <c r="F310" s="57">
        <f>D310 * 0.19212</f>
        <v>0</v>
      </c>
      <c r="G310" s="57">
        <f>D310 * 0.0000112</f>
        <v>0</v>
      </c>
      <c r="H310" s="57">
        <f>D310 * 0.0008536913</f>
        <v>0</v>
      </c>
      <c r="I310" s="52" t="s">
        <v>889</v>
      </c>
      <c r="J310" s="52" t="s">
        <v>176</v>
      </c>
      <c r="P310" s="64" t="s">
        <v>896</v>
      </c>
    </row>
    <row r="311" spans="1:16" x14ac:dyDescent="0.25">
      <c r="A311" s="95"/>
      <c r="B311" s="52" t="s">
        <v>891</v>
      </c>
      <c r="C311" s="52" t="s">
        <v>601</v>
      </c>
      <c r="D311" s="50"/>
      <c r="E311" s="56">
        <f>F311 + G311 + H311</f>
        <v>0</v>
      </c>
      <c r="F311" s="57">
        <f>D311 * 0.14713</f>
        <v>0</v>
      </c>
      <c r="G311" s="57">
        <f>D311 * 0.0000112</f>
        <v>0</v>
      </c>
      <c r="H311" s="57">
        <f>D311 * 0.0006491611</f>
        <v>0</v>
      </c>
      <c r="I311" s="52" t="s">
        <v>889</v>
      </c>
      <c r="J311" s="52" t="s">
        <v>176</v>
      </c>
      <c r="P311" s="64" t="s">
        <v>897</v>
      </c>
    </row>
    <row r="312" spans="1:16" x14ac:dyDescent="0.25">
      <c r="A312" s="95"/>
      <c r="B312" s="52" t="s">
        <v>898</v>
      </c>
      <c r="C312" s="52" t="s">
        <v>601</v>
      </c>
      <c r="D312" s="50"/>
      <c r="E312" s="56">
        <f>F312 + G312 + H312</f>
        <v>0</v>
      </c>
      <c r="F312" s="57">
        <f>D312 * 0.23541</f>
        <v>0</v>
      </c>
      <c r="G312" s="57">
        <f>D312 * 0.0000112</f>
        <v>0</v>
      </c>
      <c r="H312" s="57">
        <f>D312 * 0.0010404362</f>
        <v>0</v>
      </c>
      <c r="I312" s="52" t="s">
        <v>889</v>
      </c>
      <c r="J312" s="52" t="s">
        <v>176</v>
      </c>
      <c r="P312" s="64" t="s">
        <v>899</v>
      </c>
    </row>
    <row r="313" spans="1:16" x14ac:dyDescent="0.25">
      <c r="A313" s="95"/>
      <c r="B313" s="52" t="s">
        <v>893</v>
      </c>
      <c r="C313" s="52" t="s">
        <v>601</v>
      </c>
      <c r="D313" s="50"/>
      <c r="E313" s="56">
        <f>F313 + G313 + H313</f>
        <v>0</v>
      </c>
      <c r="F313" s="57">
        <f>D313 * 0.42668</f>
        <v>0</v>
      </c>
      <c r="G313" s="57">
        <f>D313 * 0.0000224</f>
        <v>0</v>
      </c>
      <c r="H313" s="57">
        <f>D313 * 0.0018852349</f>
        <v>0</v>
      </c>
      <c r="I313" s="52" t="s">
        <v>889</v>
      </c>
      <c r="J313" s="52" t="s">
        <v>176</v>
      </c>
      <c r="P313" s="64" t="s">
        <v>900</v>
      </c>
    </row>
    <row r="314" spans="1:16" x14ac:dyDescent="0.25">
      <c r="A314" s="95"/>
      <c r="B314" s="52" t="s">
        <v>901</v>
      </c>
      <c r="C314" s="52" t="s">
        <v>601</v>
      </c>
      <c r="D314" s="50"/>
      <c r="E314" s="56">
        <f>F314 + G314 + H314</f>
        <v>0</v>
      </c>
      <c r="F314" s="57">
        <f>D314 * 0.58852</f>
        <v>0</v>
      </c>
      <c r="G314" s="57">
        <f>D314 * 0.0000224</f>
        <v>0</v>
      </c>
      <c r="H314" s="57">
        <f>D314 * 0.0026055369</f>
        <v>0</v>
      </c>
      <c r="I314" s="52" t="s">
        <v>889</v>
      </c>
      <c r="J314" s="52" t="s">
        <v>176</v>
      </c>
      <c r="P314" s="64" t="s">
        <v>902</v>
      </c>
    </row>
    <row r="315" spans="1:16" x14ac:dyDescent="0.25">
      <c r="D315" s="65" t="s">
        <v>116</v>
      </c>
      <c r="E315" s="76">
        <f>SUM(E305:E314)</f>
        <v>0</v>
      </c>
      <c r="F315" s="57">
        <f>SUM(F305:F314)</f>
        <v>0</v>
      </c>
      <c r="G315" s="57">
        <f>SUM(G305:G314)</f>
        <v>0</v>
      </c>
      <c r="H315" s="57">
        <f>SUM(H305:H314)</f>
        <v>0</v>
      </c>
    </row>
    <row r="317" spans="1:16" x14ac:dyDescent="0.25">
      <c r="A317" s="92" t="s">
        <v>886</v>
      </c>
      <c r="B317" s="92"/>
      <c r="C317" s="92"/>
      <c r="D317" s="92"/>
      <c r="E317" s="92"/>
      <c r="F317" s="92"/>
      <c r="G317" s="92"/>
      <c r="H317" s="92"/>
      <c r="I317" s="92"/>
      <c r="J317" s="92"/>
    </row>
    <row r="318" spans="1:16" x14ac:dyDescent="0.25">
      <c r="A318" s="93" t="s">
        <v>881</v>
      </c>
      <c r="B318" s="93"/>
      <c r="C318" s="59" t="s">
        <v>61</v>
      </c>
      <c r="D318" s="60" t="s">
        <v>62</v>
      </c>
      <c r="E318" s="58" t="s">
        <v>63</v>
      </c>
      <c r="F318" s="58" t="s">
        <v>64</v>
      </c>
      <c r="G318" s="58" t="s">
        <v>65</v>
      </c>
      <c r="H318" s="58" t="s">
        <v>66</v>
      </c>
      <c r="I318" s="59" t="s">
        <v>240</v>
      </c>
      <c r="J318" s="59" t="s">
        <v>67</v>
      </c>
      <c r="P318" s="61" t="s">
        <v>68</v>
      </c>
    </row>
    <row r="319" spans="1:16" x14ac:dyDescent="0.25">
      <c r="A319" s="95" t="s">
        <v>60</v>
      </c>
      <c r="B319" s="94" t="s">
        <v>887</v>
      </c>
      <c r="C319" s="94"/>
      <c r="D319" s="94"/>
      <c r="E319" s="94"/>
      <c r="F319" s="94"/>
      <c r="G319" s="94"/>
      <c r="H319" s="94"/>
      <c r="I319" s="94"/>
      <c r="J319" s="94"/>
    </row>
    <row r="320" spans="1:16" x14ac:dyDescent="0.25">
      <c r="A320" s="95"/>
      <c r="B320" s="52" t="s">
        <v>888</v>
      </c>
      <c r="C320" s="52" t="s">
        <v>601</v>
      </c>
      <c r="D320" s="50"/>
      <c r="E320" s="56">
        <f>F320 + G320 + H320</f>
        <v>0</v>
      </c>
      <c r="F320" s="57">
        <f>D320 * 0.0804</f>
        <v>0</v>
      </c>
      <c r="G320" s="57">
        <f>D320 * 0.0000112</f>
        <v>0</v>
      </c>
      <c r="H320" s="57">
        <f>D320 * 0.0006758389</f>
        <v>0</v>
      </c>
      <c r="I320" s="52" t="s">
        <v>889</v>
      </c>
      <c r="J320" s="52" t="s">
        <v>176</v>
      </c>
      <c r="P320" s="64" t="s">
        <v>903</v>
      </c>
    </row>
    <row r="321" spans="1:16" x14ac:dyDescent="0.25">
      <c r="A321" s="95"/>
      <c r="B321" s="52" t="s">
        <v>891</v>
      </c>
      <c r="C321" s="52" t="s">
        <v>601</v>
      </c>
      <c r="D321" s="50"/>
      <c r="E321" s="56">
        <f>F321 + G321 + H321</f>
        <v>0</v>
      </c>
      <c r="F321" s="57">
        <f>D321 * 0.07908</f>
        <v>0</v>
      </c>
      <c r="G321" s="57">
        <f>D321 * 0.0000112</f>
        <v>0</v>
      </c>
      <c r="H321" s="57">
        <f>D321 * 0.0006669463</f>
        <v>0</v>
      </c>
      <c r="I321" s="52" t="s">
        <v>889</v>
      </c>
      <c r="J321" s="52" t="s">
        <v>176</v>
      </c>
      <c r="P321" s="64" t="s">
        <v>904</v>
      </c>
    </row>
    <row r="322" spans="1:16" x14ac:dyDescent="0.25">
      <c r="A322" s="95"/>
      <c r="B322" s="52" t="s">
        <v>893</v>
      </c>
      <c r="C322" s="52" t="s">
        <v>601</v>
      </c>
      <c r="D322" s="50"/>
      <c r="E322" s="56">
        <f>F322 + G322 + H322</f>
        <v>0</v>
      </c>
      <c r="F322" s="57">
        <f>D322 * 0.11863</f>
        <v>0</v>
      </c>
      <c r="G322" s="57">
        <f>D322 * 0.0000112</f>
        <v>0</v>
      </c>
      <c r="H322" s="57">
        <f>D322 * 0.0009959732</f>
        <v>0</v>
      </c>
      <c r="I322" s="52" t="s">
        <v>889</v>
      </c>
      <c r="J322" s="52" t="s">
        <v>176</v>
      </c>
      <c r="P322" s="64" t="s">
        <v>905</v>
      </c>
    </row>
    <row r="323" spans="1:16" x14ac:dyDescent="0.25">
      <c r="A323" s="95"/>
      <c r="B323" s="94" t="s">
        <v>895</v>
      </c>
      <c r="C323" s="94"/>
      <c r="D323" s="94"/>
      <c r="E323" s="94"/>
      <c r="F323" s="94"/>
      <c r="G323" s="94"/>
      <c r="H323" s="94"/>
      <c r="I323" s="94"/>
      <c r="J323" s="94"/>
    </row>
    <row r="324" spans="1:16" x14ac:dyDescent="0.25">
      <c r="A324" s="95"/>
      <c r="B324" s="52" t="s">
        <v>888</v>
      </c>
      <c r="C324" s="52" t="s">
        <v>601</v>
      </c>
      <c r="D324" s="50"/>
      <c r="E324" s="56">
        <f>F324 + G324 + H324</f>
        <v>0</v>
      </c>
      <c r="F324" s="57">
        <f>D324 * 0.10111</f>
        <v>0</v>
      </c>
      <c r="G324" s="57">
        <f>D324 * 0.0000112</f>
        <v>0</v>
      </c>
      <c r="H324" s="57">
        <f>D324 * 0.0008536913</f>
        <v>0</v>
      </c>
      <c r="I324" s="52" t="s">
        <v>889</v>
      </c>
      <c r="J324" s="52" t="s">
        <v>176</v>
      </c>
      <c r="P324" s="64" t="s">
        <v>906</v>
      </c>
    </row>
    <row r="325" spans="1:16" x14ac:dyDescent="0.25">
      <c r="A325" s="95"/>
      <c r="B325" s="52" t="s">
        <v>891</v>
      </c>
      <c r="C325" s="52" t="s">
        <v>601</v>
      </c>
      <c r="D325" s="50"/>
      <c r="E325" s="56">
        <f>F325 + G325 + H325</f>
        <v>0</v>
      </c>
      <c r="F325" s="57">
        <f>D325 * 0.07744</f>
        <v>0</v>
      </c>
      <c r="G325" s="57">
        <f>D325 * 0.0000112</f>
        <v>0</v>
      </c>
      <c r="H325" s="57">
        <f>D325 * 0.0006491611</f>
        <v>0</v>
      </c>
      <c r="I325" s="52" t="s">
        <v>889</v>
      </c>
      <c r="J325" s="52" t="s">
        <v>176</v>
      </c>
      <c r="P325" s="64" t="s">
        <v>907</v>
      </c>
    </row>
    <row r="326" spans="1:16" x14ac:dyDescent="0.25">
      <c r="A326" s="95"/>
      <c r="B326" s="52" t="s">
        <v>898</v>
      </c>
      <c r="C326" s="52" t="s">
        <v>601</v>
      </c>
      <c r="D326" s="50"/>
      <c r="E326" s="56">
        <f>F326 + G326 + H326</f>
        <v>0</v>
      </c>
      <c r="F326" s="57">
        <f>D326 * 0.1239</f>
        <v>0</v>
      </c>
      <c r="G326" s="57">
        <f>D326 * 0.0000112</f>
        <v>0</v>
      </c>
      <c r="H326" s="57">
        <f>D326 * 0.0010404362</f>
        <v>0</v>
      </c>
      <c r="I326" s="52" t="s">
        <v>889</v>
      </c>
      <c r="J326" s="52" t="s">
        <v>176</v>
      </c>
      <c r="P326" s="64" t="s">
        <v>908</v>
      </c>
    </row>
    <row r="327" spans="1:16" x14ac:dyDescent="0.25">
      <c r="A327" s="95"/>
      <c r="B327" s="52" t="s">
        <v>893</v>
      </c>
      <c r="C327" s="52" t="s">
        <v>601</v>
      </c>
      <c r="D327" s="50"/>
      <c r="E327" s="56">
        <f>F327 + G327 + H327</f>
        <v>0</v>
      </c>
      <c r="F327" s="57">
        <f>D327 * 0.22457</f>
        <v>0</v>
      </c>
      <c r="G327" s="57">
        <f>D327 * 0.0000224</f>
        <v>0</v>
      </c>
      <c r="H327" s="57">
        <f>D327 * 0.0018852349</f>
        <v>0</v>
      </c>
      <c r="I327" s="52" t="s">
        <v>889</v>
      </c>
      <c r="J327" s="52" t="s">
        <v>176</v>
      </c>
      <c r="P327" s="64" t="s">
        <v>909</v>
      </c>
    </row>
    <row r="328" spans="1:16" x14ac:dyDescent="0.25">
      <c r="A328" s="95"/>
      <c r="B328" s="52" t="s">
        <v>901</v>
      </c>
      <c r="C328" s="52" t="s">
        <v>601</v>
      </c>
      <c r="D328" s="50"/>
      <c r="E328" s="56">
        <f>F328 + G328 + H328</f>
        <v>0</v>
      </c>
      <c r="F328" s="57">
        <f>D328 * 0.30975</f>
        <v>0</v>
      </c>
      <c r="G328" s="57">
        <f>D328 * 0.0000224</f>
        <v>0</v>
      </c>
      <c r="H328" s="57">
        <f>D328 * 0.0026055369</f>
        <v>0</v>
      </c>
      <c r="I328" s="52" t="s">
        <v>889</v>
      </c>
      <c r="J328" s="52" t="s">
        <v>176</v>
      </c>
      <c r="P328" s="64" t="s">
        <v>910</v>
      </c>
    </row>
    <row r="329" spans="1:16" x14ac:dyDescent="0.25">
      <c r="D329" s="65" t="s">
        <v>116</v>
      </c>
      <c r="E329" s="76">
        <f>SUM(E319:E328)</f>
        <v>0</v>
      </c>
      <c r="F329" s="57">
        <f>SUM(F319:F328)</f>
        <v>0</v>
      </c>
      <c r="G329" s="57">
        <f>SUM(G319:G328)</f>
        <v>0</v>
      </c>
      <c r="H329" s="57">
        <f>SUM(H319:H328)</f>
        <v>0</v>
      </c>
    </row>
    <row r="331" spans="1:16" x14ac:dyDescent="0.25">
      <c r="A331" s="92" t="s">
        <v>911</v>
      </c>
      <c r="B331" s="92"/>
      <c r="C331" s="92"/>
      <c r="D331" s="92"/>
      <c r="E331" s="92"/>
      <c r="F331" s="92"/>
      <c r="G331" s="92"/>
      <c r="H331" s="92"/>
      <c r="I331" s="92"/>
      <c r="J331" s="92"/>
    </row>
    <row r="332" spans="1:16" x14ac:dyDescent="0.25">
      <c r="A332" s="93" t="s">
        <v>60</v>
      </c>
      <c r="B332" s="93"/>
      <c r="C332" s="59" t="s">
        <v>61</v>
      </c>
      <c r="D332" s="60" t="s">
        <v>62</v>
      </c>
      <c r="E332" s="58" t="s">
        <v>63</v>
      </c>
      <c r="F332" s="58" t="s">
        <v>64</v>
      </c>
      <c r="G332" s="58" t="s">
        <v>65</v>
      </c>
      <c r="H332" s="58" t="s">
        <v>66</v>
      </c>
      <c r="I332" s="59" t="s">
        <v>240</v>
      </c>
      <c r="J332" s="59" t="s">
        <v>67</v>
      </c>
      <c r="P332" s="61" t="s">
        <v>68</v>
      </c>
    </row>
    <row r="333" spans="1:16" x14ac:dyDescent="0.25">
      <c r="A333" s="95" t="s">
        <v>912</v>
      </c>
      <c r="B333" s="52" t="s">
        <v>913</v>
      </c>
      <c r="C333" s="52" t="s">
        <v>914</v>
      </c>
      <c r="D333" s="50"/>
      <c r="E333" s="56">
        <f>F333 + G333 + H333</f>
        <v>0</v>
      </c>
      <c r="F333" s="57">
        <f>D333 * 454.9931455328</f>
        <v>0</v>
      </c>
      <c r="G333" s="57">
        <f>D333 * 0.0889359446</f>
        <v>0</v>
      </c>
      <c r="H333" s="57">
        <f>D333 * 3.366860759</f>
        <v>0</v>
      </c>
      <c r="I333" s="52" t="s">
        <v>915</v>
      </c>
      <c r="J333" s="52" t="s">
        <v>176</v>
      </c>
      <c r="P333" s="64" t="s">
        <v>916</v>
      </c>
    </row>
    <row r="334" spans="1:16" x14ac:dyDescent="0.25">
      <c r="A334" s="95"/>
      <c r="B334" s="52" t="s">
        <v>917</v>
      </c>
      <c r="C334" s="52" t="s">
        <v>914</v>
      </c>
      <c r="D334" s="50"/>
      <c r="E334" s="56">
        <f>F334 + G334 + H334</f>
        <v>0</v>
      </c>
      <c r="F334" s="57">
        <f>D334 * 470.7415967184</f>
        <v>0</v>
      </c>
      <c r="G334" s="57">
        <f>D334 * 0.0920142401</f>
        <v>0</v>
      </c>
      <c r="H334" s="57">
        <f>D334 * 3.483396234</f>
        <v>0</v>
      </c>
      <c r="I334" s="52" t="s">
        <v>915</v>
      </c>
      <c r="J334" s="52" t="s">
        <v>176</v>
      </c>
      <c r="P334" s="64" t="s">
        <v>918</v>
      </c>
    </row>
    <row r="335" spans="1:16" x14ac:dyDescent="0.25">
      <c r="A335" s="95"/>
      <c r="B335" s="52" t="s">
        <v>919</v>
      </c>
      <c r="C335" s="52" t="s">
        <v>914</v>
      </c>
      <c r="D335" s="50"/>
      <c r="E335" s="56">
        <f>F335 + G335 + H335</f>
        <v>0</v>
      </c>
      <c r="F335" s="57">
        <f>D335 * 184.3280639657</f>
        <v>0</v>
      </c>
      <c r="G335" s="57">
        <f>D335 * 0.037206065</f>
        <v>0</v>
      </c>
      <c r="H335" s="57">
        <f>D335 * 1.4085153166</f>
        <v>0</v>
      </c>
      <c r="I335" s="52" t="s">
        <v>915</v>
      </c>
      <c r="J335" s="52" t="s">
        <v>176</v>
      </c>
      <c r="P335" s="64" t="s">
        <v>920</v>
      </c>
    </row>
    <row r="336" spans="1:16" x14ac:dyDescent="0.25">
      <c r="A336" s="95"/>
      <c r="B336" s="52" t="s">
        <v>921</v>
      </c>
      <c r="C336" s="52" t="s">
        <v>914</v>
      </c>
      <c r="D336" s="50"/>
      <c r="E336" s="56">
        <f>F336 + G336 + H336</f>
        <v>0</v>
      </c>
      <c r="F336" s="57">
        <f>D336 * 127.6110562254</f>
        <v>0</v>
      </c>
      <c r="G336" s="57">
        <f>D336 * 0.0257579076</f>
        <v>0</v>
      </c>
      <c r="H336" s="57">
        <f>D336 * 0.9751207895</f>
        <v>0</v>
      </c>
      <c r="I336" s="52" t="s">
        <v>915</v>
      </c>
      <c r="J336" s="52" t="s">
        <v>176</v>
      </c>
      <c r="P336" s="64" t="s">
        <v>922</v>
      </c>
    </row>
    <row r="337" spans="1:16" x14ac:dyDescent="0.25">
      <c r="A337" s="95"/>
      <c r="B337" s="52" t="s">
        <v>923</v>
      </c>
      <c r="C337" s="52" t="s">
        <v>914</v>
      </c>
      <c r="D337" s="50"/>
      <c r="E337" s="56">
        <f>F337 + G337 + H337</f>
        <v>0</v>
      </c>
      <c r="F337" s="57">
        <f>D337 * 313.6722154235</f>
        <v>0</v>
      </c>
      <c r="G337" s="57">
        <f>D337 * 0.0613124286</f>
        <v>0</v>
      </c>
      <c r="H337" s="57">
        <f>D337 * 2.3211133699</f>
        <v>0</v>
      </c>
      <c r="I337" s="52" t="s">
        <v>915</v>
      </c>
      <c r="J337" s="52" t="s">
        <v>176</v>
      </c>
      <c r="P337" s="64" t="s">
        <v>924</v>
      </c>
    </row>
    <row r="338" spans="1:16" x14ac:dyDescent="0.25">
      <c r="D338" s="65" t="s">
        <v>116</v>
      </c>
      <c r="E338" s="56">
        <f>SUM(E333:E337)</f>
        <v>0</v>
      </c>
      <c r="F338" s="57">
        <f>SUM(F333:F337)</f>
        <v>0</v>
      </c>
      <c r="G338" s="57">
        <f>SUM(G333:G337)</f>
        <v>0</v>
      </c>
      <c r="H338" s="57">
        <f>SUM(H333:H337)</f>
        <v>0</v>
      </c>
    </row>
    <row r="340" spans="1:16" x14ac:dyDescent="0.25">
      <c r="A340" s="92" t="s">
        <v>925</v>
      </c>
      <c r="B340" s="92"/>
      <c r="C340" s="92"/>
      <c r="D340" s="92"/>
      <c r="E340" s="92"/>
      <c r="F340" s="92"/>
      <c r="G340" s="92"/>
    </row>
    <row r="341" spans="1:16" x14ac:dyDescent="0.25">
      <c r="A341" s="93" t="s">
        <v>60</v>
      </c>
      <c r="B341" s="93"/>
      <c r="C341" s="59" t="s">
        <v>61</v>
      </c>
      <c r="D341" s="60" t="s">
        <v>62</v>
      </c>
      <c r="E341" s="58" t="s">
        <v>63</v>
      </c>
      <c r="F341" s="59" t="s">
        <v>240</v>
      </c>
      <c r="G341" s="59" t="s">
        <v>67</v>
      </c>
      <c r="P341" s="61" t="s">
        <v>68</v>
      </c>
    </row>
    <row r="342" spans="1:16" x14ac:dyDescent="0.25">
      <c r="A342" s="95" t="s">
        <v>926</v>
      </c>
      <c r="B342" s="52" t="s">
        <v>927</v>
      </c>
      <c r="C342" s="52" t="s">
        <v>928</v>
      </c>
      <c r="D342" s="50"/>
      <c r="E342" s="56">
        <f>D342 * 23.7688724731</f>
        <v>0</v>
      </c>
      <c r="F342" s="52" t="s">
        <v>929</v>
      </c>
      <c r="G342" s="52" t="s">
        <v>176</v>
      </c>
      <c r="P342" s="64" t="s">
        <v>930</v>
      </c>
    </row>
    <row r="343" spans="1:16" x14ac:dyDescent="0.25">
      <c r="A343" s="95"/>
      <c r="B343" s="52" t="s">
        <v>931</v>
      </c>
      <c r="C343" s="52" t="s">
        <v>928</v>
      </c>
      <c r="D343" s="50"/>
      <c r="E343" s="56">
        <f>D343 * 43.2255004864</f>
        <v>0</v>
      </c>
      <c r="F343" s="52" t="s">
        <v>929</v>
      </c>
      <c r="G343" s="52" t="s">
        <v>176</v>
      </c>
      <c r="P343" s="64" t="s">
        <v>932</v>
      </c>
    </row>
    <row r="344" spans="1:16" x14ac:dyDescent="0.25">
      <c r="A344" s="95"/>
      <c r="B344" s="52" t="s">
        <v>933</v>
      </c>
      <c r="C344" s="52" t="s">
        <v>928</v>
      </c>
      <c r="D344" s="50"/>
      <c r="E344" s="56">
        <f>D344 * 19.3291629494</f>
        <v>0</v>
      </c>
      <c r="F344" s="52" t="s">
        <v>929</v>
      </c>
      <c r="G344" s="52" t="s">
        <v>176</v>
      </c>
      <c r="P344" s="64" t="s">
        <v>934</v>
      </c>
    </row>
    <row r="345" spans="1:16" x14ac:dyDescent="0.25">
      <c r="A345" s="95"/>
      <c r="B345" s="52" t="s">
        <v>935</v>
      </c>
      <c r="C345" s="52" t="s">
        <v>928</v>
      </c>
      <c r="D345" s="50"/>
      <c r="E345" s="56">
        <f>D345 * 91.1641414389</f>
        <v>0</v>
      </c>
      <c r="F345" s="52" t="s">
        <v>929</v>
      </c>
      <c r="G345" s="52" t="s">
        <v>176</v>
      </c>
      <c r="P345" s="64" t="s">
        <v>936</v>
      </c>
    </row>
    <row r="346" spans="1:16" x14ac:dyDescent="0.25">
      <c r="A346" s="95"/>
      <c r="B346" s="52" t="s">
        <v>937</v>
      </c>
      <c r="C346" s="52" t="s">
        <v>928</v>
      </c>
      <c r="D346" s="50"/>
      <c r="E346" s="56">
        <f>D346 * 29.0098126945</f>
        <v>0</v>
      </c>
      <c r="F346" s="52" t="s">
        <v>929</v>
      </c>
      <c r="G346" s="52" t="s">
        <v>176</v>
      </c>
      <c r="P346" s="64" t="s">
        <v>938</v>
      </c>
    </row>
    <row r="347" spans="1:16" x14ac:dyDescent="0.25">
      <c r="A347" s="95"/>
      <c r="B347" s="52" t="s">
        <v>939</v>
      </c>
      <c r="C347" s="52" t="s">
        <v>928</v>
      </c>
      <c r="D347" s="50"/>
      <c r="E347" s="56">
        <f>D347 * 12.9222594592</f>
        <v>0</v>
      </c>
      <c r="F347" s="52" t="s">
        <v>929</v>
      </c>
      <c r="G347" s="52" t="s">
        <v>176</v>
      </c>
      <c r="P347" s="64" t="s">
        <v>940</v>
      </c>
    </row>
    <row r="348" spans="1:16" x14ac:dyDescent="0.25">
      <c r="A348" s="95"/>
      <c r="B348" s="52" t="s">
        <v>941</v>
      </c>
      <c r="C348" s="52" t="s">
        <v>928</v>
      </c>
      <c r="D348" s="50"/>
      <c r="E348" s="56">
        <f>D348 * 12.5294546599</f>
        <v>0</v>
      </c>
      <c r="F348" s="52" t="s">
        <v>929</v>
      </c>
      <c r="G348" s="52" t="s">
        <v>176</v>
      </c>
      <c r="P348" s="64" t="s">
        <v>942</v>
      </c>
    </row>
    <row r="349" spans="1:16" x14ac:dyDescent="0.25">
      <c r="A349" s="95"/>
      <c r="B349" s="52" t="s">
        <v>943</v>
      </c>
      <c r="C349" s="52" t="s">
        <v>928</v>
      </c>
      <c r="D349" s="50"/>
      <c r="E349" s="56">
        <f>D349 * 53.8128770694</f>
        <v>0</v>
      </c>
      <c r="F349" s="52" t="s">
        <v>929</v>
      </c>
      <c r="G349" s="52" t="s">
        <v>176</v>
      </c>
      <c r="P349" s="64" t="s">
        <v>944</v>
      </c>
    </row>
    <row r="350" spans="1:16" x14ac:dyDescent="0.25">
      <c r="A350" s="95"/>
      <c r="B350" s="52" t="s">
        <v>945</v>
      </c>
      <c r="C350" s="52" t="s">
        <v>928</v>
      </c>
      <c r="D350" s="50"/>
      <c r="E350" s="56">
        <f>D350 * 41.882152815</f>
        <v>0</v>
      </c>
      <c r="F350" s="52" t="s">
        <v>929</v>
      </c>
      <c r="G350" s="52" t="s">
        <v>176</v>
      </c>
      <c r="P350" s="64" t="s">
        <v>946</v>
      </c>
    </row>
    <row r="351" spans="1:16" x14ac:dyDescent="0.25">
      <c r="A351" s="95"/>
      <c r="B351" s="52" t="s">
        <v>947</v>
      </c>
      <c r="C351" s="52" t="s">
        <v>928</v>
      </c>
      <c r="D351" s="50"/>
      <c r="E351" s="56">
        <f>D351 * 58.0547618698</f>
        <v>0</v>
      </c>
      <c r="F351" s="52" t="s">
        <v>929</v>
      </c>
      <c r="G351" s="52" t="s">
        <v>176</v>
      </c>
      <c r="P351" s="64" t="s">
        <v>948</v>
      </c>
    </row>
    <row r="352" spans="1:16" x14ac:dyDescent="0.25">
      <c r="A352" s="95"/>
      <c r="B352" s="52" t="s">
        <v>949</v>
      </c>
      <c r="C352" s="52" t="s">
        <v>928</v>
      </c>
      <c r="D352" s="50"/>
      <c r="E352" s="56">
        <f>D352 * 15.7917084462</f>
        <v>0</v>
      </c>
      <c r="F352" s="52" t="s">
        <v>929</v>
      </c>
      <c r="G352" s="52" t="s">
        <v>176</v>
      </c>
      <c r="P352" s="64" t="s">
        <v>950</v>
      </c>
    </row>
    <row r="353" spans="1:16" x14ac:dyDescent="0.25">
      <c r="A353" s="95"/>
      <c r="B353" s="52" t="s">
        <v>951</v>
      </c>
      <c r="C353" s="52" t="s">
        <v>928</v>
      </c>
      <c r="D353" s="50"/>
      <c r="E353" s="56">
        <f>D353 * 9.4991021654</f>
        <v>0</v>
      </c>
      <c r="F353" s="52" t="s">
        <v>929</v>
      </c>
      <c r="G353" s="52" t="s">
        <v>176</v>
      </c>
      <c r="P353" s="64" t="s">
        <v>952</v>
      </c>
    </row>
    <row r="354" spans="1:16" x14ac:dyDescent="0.25">
      <c r="A354" s="95"/>
      <c r="B354" s="52" t="s">
        <v>953</v>
      </c>
      <c r="C354" s="52" t="s">
        <v>928</v>
      </c>
      <c r="D354" s="50"/>
      <c r="E354" s="56">
        <f>D354 * 46.1183201258</f>
        <v>0</v>
      </c>
      <c r="F354" s="52" t="s">
        <v>929</v>
      </c>
      <c r="G354" s="52" t="s">
        <v>176</v>
      </c>
      <c r="P354" s="64" t="s">
        <v>954</v>
      </c>
    </row>
    <row r="355" spans="1:16" x14ac:dyDescent="0.25">
      <c r="A355" s="95"/>
      <c r="B355" s="52" t="s">
        <v>955</v>
      </c>
      <c r="C355" s="52" t="s">
        <v>928</v>
      </c>
      <c r="D355" s="50"/>
      <c r="E355" s="56">
        <f>D355 * 75.3685486318</f>
        <v>0</v>
      </c>
      <c r="F355" s="52" t="s">
        <v>929</v>
      </c>
      <c r="G355" s="52" t="s">
        <v>176</v>
      </c>
      <c r="P355" s="64" t="s">
        <v>956</v>
      </c>
    </row>
    <row r="356" spans="1:16" x14ac:dyDescent="0.25">
      <c r="A356" s="95"/>
      <c r="B356" s="52" t="s">
        <v>957</v>
      </c>
      <c r="C356" s="52" t="s">
        <v>928</v>
      </c>
      <c r="D356" s="53"/>
      <c r="E356" s="56">
        <f>D356 * 0</f>
        <v>0</v>
      </c>
      <c r="F356" s="52" t="s">
        <v>929</v>
      </c>
      <c r="G356" s="52" t="s">
        <v>176</v>
      </c>
      <c r="P356" s="64" t="s">
        <v>958</v>
      </c>
    </row>
    <row r="357" spans="1:16" x14ac:dyDescent="0.25">
      <c r="A357" s="95"/>
      <c r="B357" s="52" t="s">
        <v>959</v>
      </c>
      <c r="C357" s="52" t="s">
        <v>928</v>
      </c>
      <c r="D357" s="53"/>
      <c r="E357" s="56">
        <f>D357 * 0</f>
        <v>0</v>
      </c>
      <c r="F357" s="52" t="s">
        <v>929</v>
      </c>
      <c r="G357" s="52" t="s">
        <v>176</v>
      </c>
      <c r="P357" s="64" t="s">
        <v>960</v>
      </c>
    </row>
    <row r="358" spans="1:16" x14ac:dyDescent="0.25">
      <c r="A358" s="95"/>
      <c r="B358" s="52" t="s">
        <v>961</v>
      </c>
      <c r="C358" s="52" t="s">
        <v>928</v>
      </c>
      <c r="D358" s="50"/>
      <c r="E358" s="56">
        <f>D358 * 9.6773262496</f>
        <v>0</v>
      </c>
      <c r="F358" s="52" t="s">
        <v>929</v>
      </c>
      <c r="G358" s="52" t="s">
        <v>176</v>
      </c>
      <c r="P358" s="64" t="s">
        <v>962</v>
      </c>
    </row>
    <row r="359" spans="1:16" x14ac:dyDescent="0.25">
      <c r="A359" s="95"/>
      <c r="B359" s="52" t="s">
        <v>963</v>
      </c>
      <c r="C359" s="52" t="s">
        <v>928</v>
      </c>
      <c r="D359" s="50"/>
      <c r="E359" s="56">
        <f>D359 * 19.4923563609</f>
        <v>0</v>
      </c>
      <c r="F359" s="52" t="s">
        <v>929</v>
      </c>
      <c r="G359" s="52" t="s">
        <v>176</v>
      </c>
      <c r="P359" s="64" t="s">
        <v>964</v>
      </c>
    </row>
    <row r="360" spans="1:16" x14ac:dyDescent="0.25">
      <c r="A360" s="95"/>
      <c r="B360" s="52" t="s">
        <v>965</v>
      </c>
      <c r="C360" s="52" t="s">
        <v>928</v>
      </c>
      <c r="D360" s="50"/>
      <c r="E360" s="56">
        <f>D360 * 56.6961335834</f>
        <v>0</v>
      </c>
      <c r="F360" s="52" t="s">
        <v>929</v>
      </c>
      <c r="G360" s="52" t="s">
        <v>176</v>
      </c>
      <c r="P360" s="64" t="s">
        <v>966</v>
      </c>
    </row>
    <row r="361" spans="1:16" x14ac:dyDescent="0.25">
      <c r="A361" s="95"/>
      <c r="B361" s="52" t="s">
        <v>967</v>
      </c>
      <c r="C361" s="52" t="s">
        <v>928</v>
      </c>
      <c r="D361" s="50"/>
      <c r="E361" s="56">
        <f>D361 * 93.8407695668</f>
        <v>0</v>
      </c>
      <c r="F361" s="52" t="s">
        <v>929</v>
      </c>
      <c r="G361" s="52" t="s">
        <v>176</v>
      </c>
      <c r="P361" s="64" t="s">
        <v>968</v>
      </c>
    </row>
    <row r="362" spans="1:16" x14ac:dyDescent="0.25">
      <c r="A362" s="95"/>
      <c r="B362" s="52" t="s">
        <v>969</v>
      </c>
      <c r="C362" s="52" t="s">
        <v>928</v>
      </c>
      <c r="D362" s="50"/>
      <c r="E362" s="56">
        <f>D362 * 36.682403363</f>
        <v>0</v>
      </c>
      <c r="F362" s="52" t="s">
        <v>929</v>
      </c>
      <c r="G362" s="52" t="s">
        <v>176</v>
      </c>
      <c r="P362" s="64" t="s">
        <v>970</v>
      </c>
    </row>
    <row r="363" spans="1:16" x14ac:dyDescent="0.25">
      <c r="A363" s="95"/>
      <c r="B363" s="52" t="s">
        <v>971</v>
      </c>
      <c r="C363" s="52" t="s">
        <v>928</v>
      </c>
      <c r="D363" s="50"/>
      <c r="E363" s="56">
        <f>D363 * 52.6430051992</f>
        <v>0</v>
      </c>
      <c r="F363" s="52" t="s">
        <v>929</v>
      </c>
      <c r="G363" s="52" t="s">
        <v>176</v>
      </c>
      <c r="P363" s="64" t="s">
        <v>972</v>
      </c>
    </row>
    <row r="364" spans="1:16" x14ac:dyDescent="0.25">
      <c r="A364" s="95"/>
      <c r="B364" s="52" t="s">
        <v>973</v>
      </c>
      <c r="C364" s="52" t="s">
        <v>928</v>
      </c>
      <c r="D364" s="50"/>
      <c r="E364" s="56">
        <f>D364 * 68.3509838788</f>
        <v>0</v>
      </c>
      <c r="F364" s="52" t="s">
        <v>929</v>
      </c>
      <c r="G364" s="52" t="s">
        <v>176</v>
      </c>
      <c r="P364" s="64" t="s">
        <v>974</v>
      </c>
    </row>
    <row r="365" spans="1:16" x14ac:dyDescent="0.25">
      <c r="A365" s="95"/>
      <c r="B365" s="52" t="s">
        <v>975</v>
      </c>
      <c r="C365" s="52" t="s">
        <v>928</v>
      </c>
      <c r="D365" s="53"/>
      <c r="E365" s="56">
        <f>D365 * 0</f>
        <v>0</v>
      </c>
      <c r="F365" s="52" t="s">
        <v>929</v>
      </c>
      <c r="G365" s="52" t="s">
        <v>176</v>
      </c>
      <c r="P365" s="64" t="s">
        <v>976</v>
      </c>
    </row>
    <row r="366" spans="1:16" x14ac:dyDescent="0.25">
      <c r="A366" s="95"/>
      <c r="B366" s="52" t="s">
        <v>977</v>
      </c>
      <c r="C366" s="52" t="s">
        <v>928</v>
      </c>
      <c r="D366" s="53"/>
      <c r="E366" s="56">
        <f>D366 * 0</f>
        <v>0</v>
      </c>
      <c r="F366" s="52" t="s">
        <v>929</v>
      </c>
      <c r="G366" s="52" t="s">
        <v>176</v>
      </c>
      <c r="P366" s="64" t="s">
        <v>978</v>
      </c>
    </row>
    <row r="367" spans="1:16" x14ac:dyDescent="0.25">
      <c r="A367" s="95"/>
      <c r="B367" s="52" t="s">
        <v>979</v>
      </c>
      <c r="C367" s="52" t="s">
        <v>928</v>
      </c>
      <c r="D367" s="50"/>
      <c r="E367" s="56">
        <f>D367 * 20.3357433162</f>
        <v>0</v>
      </c>
      <c r="F367" s="52" t="s">
        <v>929</v>
      </c>
      <c r="G367" s="52" t="s">
        <v>176</v>
      </c>
      <c r="P367" s="64" t="s">
        <v>980</v>
      </c>
    </row>
    <row r="368" spans="1:16" x14ac:dyDescent="0.25">
      <c r="A368" s="95"/>
      <c r="B368" s="52" t="s">
        <v>981</v>
      </c>
      <c r="C368" s="52" t="s">
        <v>928</v>
      </c>
      <c r="D368" s="50"/>
      <c r="E368" s="56">
        <f>D368 * 50.087980754</f>
        <v>0</v>
      </c>
      <c r="F368" s="52" t="s">
        <v>929</v>
      </c>
      <c r="G368" s="52" t="s">
        <v>176</v>
      </c>
      <c r="P368" s="64" t="s">
        <v>982</v>
      </c>
    </row>
    <row r="369" spans="1:16" x14ac:dyDescent="0.25">
      <c r="A369" s="95"/>
      <c r="B369" s="52" t="s">
        <v>983</v>
      </c>
      <c r="C369" s="52" t="s">
        <v>928</v>
      </c>
      <c r="D369" s="50"/>
      <c r="E369" s="56">
        <f>D369 * 67.1008230446</f>
        <v>0</v>
      </c>
      <c r="F369" s="52" t="s">
        <v>929</v>
      </c>
      <c r="G369" s="52" t="s">
        <v>176</v>
      </c>
      <c r="P369" s="64" t="s">
        <v>984</v>
      </c>
    </row>
    <row r="370" spans="1:16" x14ac:dyDescent="0.25">
      <c r="A370" s="95"/>
      <c r="B370" s="52" t="s">
        <v>985</v>
      </c>
      <c r="C370" s="52" t="s">
        <v>928</v>
      </c>
      <c r="D370" s="50"/>
      <c r="E370" s="56">
        <f>D370 * 75.1011830891</f>
        <v>0</v>
      </c>
      <c r="F370" s="52" t="s">
        <v>929</v>
      </c>
      <c r="G370" s="52" t="s">
        <v>176</v>
      </c>
      <c r="P370" s="64" t="s">
        <v>986</v>
      </c>
    </row>
    <row r="371" spans="1:16" x14ac:dyDescent="0.25">
      <c r="A371" s="95"/>
      <c r="B371" s="52" t="s">
        <v>987</v>
      </c>
      <c r="C371" s="52" t="s">
        <v>928</v>
      </c>
      <c r="D371" s="50"/>
      <c r="E371" s="56">
        <f>D371 * 98.6605140576</f>
        <v>0</v>
      </c>
      <c r="F371" s="52" t="s">
        <v>929</v>
      </c>
      <c r="G371" s="52" t="s">
        <v>176</v>
      </c>
      <c r="P371" s="64" t="s">
        <v>988</v>
      </c>
    </row>
    <row r="372" spans="1:16" x14ac:dyDescent="0.25">
      <c r="A372" s="95"/>
      <c r="B372" s="52" t="s">
        <v>989</v>
      </c>
      <c r="C372" s="52" t="s">
        <v>928</v>
      </c>
      <c r="D372" s="50"/>
      <c r="E372" s="56">
        <f>D372 * 70.9275852906</f>
        <v>0</v>
      </c>
      <c r="F372" s="52" t="s">
        <v>929</v>
      </c>
      <c r="G372" s="52" t="s">
        <v>176</v>
      </c>
      <c r="P372" s="64" t="s">
        <v>990</v>
      </c>
    </row>
    <row r="373" spans="1:16" x14ac:dyDescent="0.25">
      <c r="A373" s="95"/>
      <c r="B373" s="52" t="s">
        <v>991</v>
      </c>
      <c r="C373" s="52" t="s">
        <v>928</v>
      </c>
      <c r="D373" s="53"/>
      <c r="E373" s="56">
        <f>D373 * 0</f>
        <v>0</v>
      </c>
      <c r="F373" s="52" t="s">
        <v>929</v>
      </c>
      <c r="G373" s="52" t="s">
        <v>176</v>
      </c>
      <c r="P373" s="64" t="s">
        <v>992</v>
      </c>
    </row>
    <row r="374" spans="1:16" x14ac:dyDescent="0.25">
      <c r="A374" s="95"/>
      <c r="B374" s="52" t="s">
        <v>993</v>
      </c>
      <c r="C374" s="52" t="s">
        <v>928</v>
      </c>
      <c r="D374" s="50"/>
      <c r="E374" s="56">
        <f>D374 * 23.1038817438</f>
        <v>0</v>
      </c>
      <c r="F374" s="52" t="s">
        <v>929</v>
      </c>
      <c r="G374" s="52" t="s">
        <v>176</v>
      </c>
      <c r="P374" s="64" t="s">
        <v>994</v>
      </c>
    </row>
    <row r="375" spans="1:16" x14ac:dyDescent="0.25">
      <c r="A375" s="95"/>
      <c r="B375" s="52" t="s">
        <v>995</v>
      </c>
      <c r="C375" s="52" t="s">
        <v>928</v>
      </c>
      <c r="D375" s="50"/>
      <c r="E375" s="56">
        <f>D375 * 0</f>
        <v>0</v>
      </c>
      <c r="F375" s="52" t="s">
        <v>929</v>
      </c>
      <c r="G375" s="52" t="s">
        <v>176</v>
      </c>
      <c r="P375" s="64" t="s">
        <v>996</v>
      </c>
    </row>
    <row r="376" spans="1:16" x14ac:dyDescent="0.25">
      <c r="A376" s="95"/>
      <c r="B376" s="52" t="s">
        <v>997</v>
      </c>
      <c r="C376" s="52" t="s">
        <v>928</v>
      </c>
      <c r="D376" s="50"/>
      <c r="E376" s="56">
        <f>D376 * 26.9718022106</f>
        <v>0</v>
      </c>
      <c r="F376" s="52" t="s">
        <v>929</v>
      </c>
      <c r="G376" s="52" t="s">
        <v>176</v>
      </c>
      <c r="P376" s="64" t="s">
        <v>998</v>
      </c>
    </row>
    <row r="377" spans="1:16" x14ac:dyDescent="0.25">
      <c r="A377" s="95"/>
      <c r="B377" s="52" t="s">
        <v>999</v>
      </c>
      <c r="C377" s="52" t="s">
        <v>928</v>
      </c>
      <c r="D377" s="50"/>
      <c r="E377" s="56">
        <f>D377 * 11.5999001309</f>
        <v>0</v>
      </c>
      <c r="F377" s="52" t="s">
        <v>929</v>
      </c>
      <c r="G377" s="52" t="s">
        <v>176</v>
      </c>
      <c r="P377" s="64" t="s">
        <v>1000</v>
      </c>
    </row>
    <row r="378" spans="1:16" x14ac:dyDescent="0.25">
      <c r="A378" s="95"/>
      <c r="B378" s="52" t="s">
        <v>1001</v>
      </c>
      <c r="C378" s="52" t="s">
        <v>928</v>
      </c>
      <c r="D378" s="50"/>
      <c r="E378" s="56">
        <f>D378 * 88.0942505739</f>
        <v>0</v>
      </c>
      <c r="F378" s="52" t="s">
        <v>929</v>
      </c>
      <c r="G378" s="52" t="s">
        <v>176</v>
      </c>
      <c r="P378" s="64" t="s">
        <v>1002</v>
      </c>
    </row>
    <row r="379" spans="1:16" x14ac:dyDescent="0.25">
      <c r="A379" s="95"/>
      <c r="B379" s="52" t="s">
        <v>1003</v>
      </c>
      <c r="C379" s="52" t="s">
        <v>928</v>
      </c>
      <c r="D379" s="50"/>
      <c r="E379" s="56">
        <f>D379 * 35.4189538628</f>
        <v>0</v>
      </c>
      <c r="F379" s="52" t="s">
        <v>929</v>
      </c>
      <c r="G379" s="52" t="s">
        <v>176</v>
      </c>
      <c r="P379" s="64" t="s">
        <v>1004</v>
      </c>
    </row>
    <row r="380" spans="1:16" x14ac:dyDescent="0.25">
      <c r="A380" s="95"/>
      <c r="B380" s="52" t="s">
        <v>1005</v>
      </c>
      <c r="C380" s="52" t="s">
        <v>928</v>
      </c>
      <c r="D380" s="50"/>
      <c r="E380" s="56">
        <f>D380 * 15.6054107323</f>
        <v>0</v>
      </c>
      <c r="F380" s="52" t="s">
        <v>929</v>
      </c>
      <c r="G380" s="52" t="s">
        <v>176</v>
      </c>
      <c r="P380" s="64" t="s">
        <v>1006</v>
      </c>
    </row>
    <row r="381" spans="1:16" x14ac:dyDescent="0.25">
      <c r="A381" s="95"/>
      <c r="B381" s="52" t="s">
        <v>1007</v>
      </c>
      <c r="C381" s="52" t="s">
        <v>928</v>
      </c>
      <c r="D381" s="50"/>
      <c r="E381" s="56">
        <f>D381 * 46.5159509535</f>
        <v>0</v>
      </c>
      <c r="F381" s="52" t="s">
        <v>929</v>
      </c>
      <c r="G381" s="52" t="s">
        <v>176</v>
      </c>
      <c r="P381" s="64" t="s">
        <v>1008</v>
      </c>
    </row>
    <row r="382" spans="1:16" x14ac:dyDescent="0.25">
      <c r="A382" s="95"/>
      <c r="B382" s="52" t="s">
        <v>1009</v>
      </c>
      <c r="C382" s="52" t="s">
        <v>928</v>
      </c>
      <c r="D382" s="50"/>
      <c r="E382" s="56">
        <f>D382 * 49.0216871776</f>
        <v>0</v>
      </c>
      <c r="F382" s="52" t="s">
        <v>929</v>
      </c>
      <c r="G382" s="52" t="s">
        <v>176</v>
      </c>
      <c r="P382" s="64" t="s">
        <v>1010</v>
      </c>
    </row>
    <row r="383" spans="1:16" x14ac:dyDescent="0.25">
      <c r="A383" s="95"/>
      <c r="B383" s="52" t="s">
        <v>1011</v>
      </c>
      <c r="C383" s="52" t="s">
        <v>928</v>
      </c>
      <c r="D383" s="50"/>
      <c r="E383" s="56">
        <f>D383 * 29.4939348208</f>
        <v>0</v>
      </c>
      <c r="F383" s="52" t="s">
        <v>929</v>
      </c>
      <c r="G383" s="52" t="s">
        <v>176</v>
      </c>
      <c r="P383" s="64" t="s">
        <v>1012</v>
      </c>
    </row>
    <row r="384" spans="1:16" x14ac:dyDescent="0.25">
      <c r="A384" s="95"/>
      <c r="B384" s="52" t="s">
        <v>1013</v>
      </c>
      <c r="C384" s="52" t="s">
        <v>928</v>
      </c>
      <c r="D384" s="50"/>
      <c r="E384" s="56">
        <f>D384 * 87.665804646</f>
        <v>0</v>
      </c>
      <c r="F384" s="52" t="s">
        <v>929</v>
      </c>
      <c r="G384" s="52" t="s">
        <v>176</v>
      </c>
      <c r="P384" s="64" t="s">
        <v>1014</v>
      </c>
    </row>
    <row r="385" spans="1:16" x14ac:dyDescent="0.25">
      <c r="A385" s="95"/>
      <c r="B385" s="52" t="s">
        <v>1015</v>
      </c>
      <c r="C385" s="52" t="s">
        <v>928</v>
      </c>
      <c r="D385" s="53"/>
      <c r="E385" s="56">
        <f>D385 * 0</f>
        <v>0</v>
      </c>
      <c r="F385" s="52" t="s">
        <v>929</v>
      </c>
      <c r="G385" s="52" t="s">
        <v>176</v>
      </c>
      <c r="P385" s="64" t="s">
        <v>1016</v>
      </c>
    </row>
    <row r="386" spans="1:16" x14ac:dyDescent="0.25">
      <c r="A386" s="95"/>
      <c r="B386" s="52" t="s">
        <v>1017</v>
      </c>
      <c r="C386" s="52" t="s">
        <v>928</v>
      </c>
      <c r="D386" s="53"/>
      <c r="E386" s="56">
        <f>D386 * 0</f>
        <v>0</v>
      </c>
      <c r="F386" s="52" t="s">
        <v>929</v>
      </c>
      <c r="G386" s="52" t="s">
        <v>176</v>
      </c>
      <c r="P386" s="64" t="s">
        <v>1018</v>
      </c>
    </row>
    <row r="387" spans="1:16" x14ac:dyDescent="0.25">
      <c r="A387" s="95"/>
      <c r="B387" s="52" t="s">
        <v>1019</v>
      </c>
      <c r="C387" s="52" t="s">
        <v>928</v>
      </c>
      <c r="D387" s="50"/>
      <c r="E387" s="56">
        <f>D387 * 93.103224215</f>
        <v>0</v>
      </c>
      <c r="F387" s="52" t="s">
        <v>929</v>
      </c>
      <c r="G387" s="52" t="s">
        <v>176</v>
      </c>
      <c r="P387" s="64" t="s">
        <v>1020</v>
      </c>
    </row>
    <row r="388" spans="1:16" x14ac:dyDescent="0.25">
      <c r="A388" s="95"/>
      <c r="B388" s="52" t="s">
        <v>1021</v>
      </c>
      <c r="C388" s="52" t="s">
        <v>928</v>
      </c>
      <c r="D388" s="50"/>
      <c r="E388" s="56">
        <f>D388 * 24.0847026254</f>
        <v>0</v>
      </c>
      <c r="F388" s="52" t="s">
        <v>929</v>
      </c>
      <c r="G388" s="52" t="s">
        <v>176</v>
      </c>
      <c r="P388" s="64" t="s">
        <v>1022</v>
      </c>
    </row>
    <row r="389" spans="1:16" x14ac:dyDescent="0.25">
      <c r="A389" s="95"/>
      <c r="B389" s="52" t="s">
        <v>1023</v>
      </c>
      <c r="C389" s="52" t="s">
        <v>928</v>
      </c>
      <c r="D389" s="53"/>
      <c r="E389" s="56">
        <f>D389 * 0</f>
        <v>0</v>
      </c>
      <c r="F389" s="52" t="s">
        <v>929</v>
      </c>
      <c r="G389" s="52" t="s">
        <v>176</v>
      </c>
      <c r="P389" s="64" t="s">
        <v>1024</v>
      </c>
    </row>
    <row r="390" spans="1:16" x14ac:dyDescent="0.25">
      <c r="A390" s="95"/>
      <c r="B390" s="52" t="s">
        <v>1025</v>
      </c>
      <c r="C390" s="52" t="s">
        <v>928</v>
      </c>
      <c r="D390" s="50"/>
      <c r="E390" s="56">
        <f>D390 * 59.138824705</f>
        <v>0</v>
      </c>
      <c r="F390" s="52" t="s">
        <v>929</v>
      </c>
      <c r="G390" s="52" t="s">
        <v>176</v>
      </c>
      <c r="P390" s="64" t="s">
        <v>1026</v>
      </c>
    </row>
    <row r="391" spans="1:16" x14ac:dyDescent="0.25">
      <c r="A391" s="95"/>
      <c r="B391" s="52" t="s">
        <v>1027</v>
      </c>
      <c r="C391" s="52" t="s">
        <v>928</v>
      </c>
      <c r="D391" s="50"/>
      <c r="E391" s="56">
        <f>D391 * 11.1333534873</f>
        <v>0</v>
      </c>
      <c r="F391" s="52" t="s">
        <v>929</v>
      </c>
      <c r="G391" s="52" t="s">
        <v>176</v>
      </c>
      <c r="P391" s="64" t="s">
        <v>1028</v>
      </c>
    </row>
    <row r="392" spans="1:16" x14ac:dyDescent="0.25">
      <c r="A392" s="95"/>
      <c r="B392" s="52" t="s">
        <v>1029</v>
      </c>
      <c r="C392" s="52" t="s">
        <v>928</v>
      </c>
      <c r="D392" s="50"/>
      <c r="E392" s="56">
        <f>D392 * 8.7695531834</f>
        <v>0</v>
      </c>
      <c r="F392" s="52" t="s">
        <v>929</v>
      </c>
      <c r="G392" s="52" t="s">
        <v>176</v>
      </c>
      <c r="P392" s="64" t="s">
        <v>1030</v>
      </c>
    </row>
    <row r="393" spans="1:16" x14ac:dyDescent="0.25">
      <c r="A393" s="95"/>
      <c r="B393" s="52" t="s">
        <v>1031</v>
      </c>
      <c r="C393" s="52" t="s">
        <v>928</v>
      </c>
      <c r="D393" s="50"/>
      <c r="E393" s="56">
        <f>D393 * 77.8519358023</f>
        <v>0</v>
      </c>
      <c r="F393" s="52" t="s">
        <v>929</v>
      </c>
      <c r="G393" s="52" t="s">
        <v>176</v>
      </c>
      <c r="P393" s="64" t="s">
        <v>1032</v>
      </c>
    </row>
    <row r="394" spans="1:16" x14ac:dyDescent="0.25">
      <c r="A394" s="95"/>
      <c r="B394" s="52" t="s">
        <v>1033</v>
      </c>
      <c r="C394" s="52" t="s">
        <v>928</v>
      </c>
      <c r="D394" s="50"/>
      <c r="E394" s="56">
        <f>D394 * 40.2666829152</f>
        <v>0</v>
      </c>
      <c r="F394" s="52" t="s">
        <v>929</v>
      </c>
      <c r="G394" s="52" t="s">
        <v>176</v>
      </c>
      <c r="P394" s="64" t="s">
        <v>1034</v>
      </c>
    </row>
    <row r="395" spans="1:16" x14ac:dyDescent="0.25">
      <c r="A395" s="95"/>
      <c r="B395" s="52" t="s">
        <v>1035</v>
      </c>
      <c r="C395" s="52" t="s">
        <v>928</v>
      </c>
      <c r="D395" s="50"/>
      <c r="E395" s="56">
        <f>D395 * 62.0746937561</f>
        <v>0</v>
      </c>
      <c r="F395" s="52" t="s">
        <v>929</v>
      </c>
      <c r="G395" s="52" t="s">
        <v>176</v>
      </c>
      <c r="P395" s="64" t="s">
        <v>1036</v>
      </c>
    </row>
    <row r="396" spans="1:16" x14ac:dyDescent="0.25">
      <c r="A396" s="95"/>
      <c r="B396" s="52" t="s">
        <v>1037</v>
      </c>
      <c r="C396" s="52" t="s">
        <v>928</v>
      </c>
      <c r="D396" s="50"/>
      <c r="E396" s="56">
        <f>D396 * 10.5331711344</f>
        <v>0</v>
      </c>
      <c r="F396" s="52" t="s">
        <v>929</v>
      </c>
      <c r="G396" s="52" t="s">
        <v>176</v>
      </c>
      <c r="P396" s="64" t="s">
        <v>1038</v>
      </c>
    </row>
    <row r="397" spans="1:16" x14ac:dyDescent="0.25">
      <c r="A397" s="95"/>
      <c r="B397" s="52" t="s">
        <v>1039</v>
      </c>
      <c r="C397" s="52" t="s">
        <v>928</v>
      </c>
      <c r="D397" s="50"/>
      <c r="E397" s="56">
        <f>D397 * 15.1151324977</f>
        <v>0</v>
      </c>
      <c r="F397" s="52" t="s">
        <v>929</v>
      </c>
      <c r="G397" s="52" t="s">
        <v>176</v>
      </c>
      <c r="P397" s="64" t="s">
        <v>1040</v>
      </c>
    </row>
    <row r="398" spans="1:16" x14ac:dyDescent="0.25">
      <c r="A398" s="95"/>
      <c r="B398" s="52" t="s">
        <v>1041</v>
      </c>
      <c r="C398" s="52" t="s">
        <v>928</v>
      </c>
      <c r="D398" s="50"/>
      <c r="E398" s="56">
        <f>D398 * 120.7418281833</f>
        <v>0</v>
      </c>
      <c r="F398" s="52" t="s">
        <v>929</v>
      </c>
      <c r="G398" s="52" t="s">
        <v>176</v>
      </c>
      <c r="P398" s="64" t="s">
        <v>1042</v>
      </c>
    </row>
    <row r="399" spans="1:16" x14ac:dyDescent="0.25">
      <c r="D399" s="65" t="s">
        <v>116</v>
      </c>
      <c r="E399" s="56">
        <f>SUM(E342:E398)</f>
        <v>0</v>
      </c>
    </row>
  </sheetData>
  <mergeCells count="91">
    <mergeCell ref="A1:J1"/>
    <mergeCell ref="A2:J2"/>
    <mergeCell ref="A4:J4"/>
    <mergeCell ref="A5:J5"/>
    <mergeCell ref="A6:J6"/>
    <mergeCell ref="A11:J11"/>
    <mergeCell ref="A12:B12"/>
    <mergeCell ref="A13:A17"/>
    <mergeCell ref="A18:A20"/>
    <mergeCell ref="A24:H24"/>
    <mergeCell ref="A25:B25"/>
    <mergeCell ref="B26:H26"/>
    <mergeCell ref="B32:H32"/>
    <mergeCell ref="B38:H38"/>
    <mergeCell ref="B44:H44"/>
    <mergeCell ref="B50:H50"/>
    <mergeCell ref="A26:A52"/>
    <mergeCell ref="A55:H55"/>
    <mergeCell ref="A56:B56"/>
    <mergeCell ref="B57:H57"/>
    <mergeCell ref="B93:H93"/>
    <mergeCell ref="B99:H99"/>
    <mergeCell ref="B105:H105"/>
    <mergeCell ref="B111:H111"/>
    <mergeCell ref="A57:A115"/>
    <mergeCell ref="B63:H63"/>
    <mergeCell ref="B69:H69"/>
    <mergeCell ref="B75:H75"/>
    <mergeCell ref="B81:H81"/>
    <mergeCell ref="B87:H87"/>
    <mergeCell ref="A118:H118"/>
    <mergeCell ref="A119:B119"/>
    <mergeCell ref="B120:H120"/>
    <mergeCell ref="B126:H126"/>
    <mergeCell ref="B132:H132"/>
    <mergeCell ref="B168:H168"/>
    <mergeCell ref="B174:H174"/>
    <mergeCell ref="A120:A178"/>
    <mergeCell ref="A181:H181"/>
    <mergeCell ref="A182:B182"/>
    <mergeCell ref="B138:H138"/>
    <mergeCell ref="B144:H144"/>
    <mergeCell ref="B150:H150"/>
    <mergeCell ref="B156:H156"/>
    <mergeCell ref="B162:H162"/>
    <mergeCell ref="A183:A241"/>
    <mergeCell ref="A244:H244"/>
    <mergeCell ref="A245:B245"/>
    <mergeCell ref="A246:A254"/>
    <mergeCell ref="A255:A263"/>
    <mergeCell ref="B213:H213"/>
    <mergeCell ref="B219:H219"/>
    <mergeCell ref="B225:H225"/>
    <mergeCell ref="B231:H231"/>
    <mergeCell ref="B237:H237"/>
    <mergeCell ref="B183:H183"/>
    <mergeCell ref="B189:H189"/>
    <mergeCell ref="B195:H195"/>
    <mergeCell ref="B201:H201"/>
    <mergeCell ref="B207:H207"/>
    <mergeCell ref="A285:I285"/>
    <mergeCell ref="A286:B286"/>
    <mergeCell ref="B287:I287"/>
    <mergeCell ref="A287:A291"/>
    <mergeCell ref="A264:A269"/>
    <mergeCell ref="A272:J272"/>
    <mergeCell ref="A273:B273"/>
    <mergeCell ref="A274:A276"/>
    <mergeCell ref="A277:A279"/>
    <mergeCell ref="A342:A398"/>
    <mergeCell ref="A318:B318"/>
    <mergeCell ref="B319:J319"/>
    <mergeCell ref="B323:J323"/>
    <mergeCell ref="A319:A328"/>
    <mergeCell ref="A331:J331"/>
    <mergeCell ref="A8:D9"/>
    <mergeCell ref="A332:B332"/>
    <mergeCell ref="A333:A337"/>
    <mergeCell ref="A340:G340"/>
    <mergeCell ref="A341:B341"/>
    <mergeCell ref="A304:B304"/>
    <mergeCell ref="B305:J305"/>
    <mergeCell ref="B309:J309"/>
    <mergeCell ref="A305:A314"/>
    <mergeCell ref="A317:J317"/>
    <mergeCell ref="A294:I294"/>
    <mergeCell ref="A295:B295"/>
    <mergeCell ref="B296:I296"/>
    <mergeCell ref="A296:A300"/>
    <mergeCell ref="A303:J303"/>
    <mergeCell ref="A280:A282"/>
  </mergeCells>
  <pageMargins left="0.7" right="0.7" top="0.75" bottom="0.75" header="0.3" footer="0.3"/>
  <pageSetup paperSize="9" orientation="portrait" horizontalDpi="300" verticalDpi="300"/>
  <headerFooter>
    <oddHeader>&amp;C&amp;"Calibri"&amp;9&amp;K000000 [IN-CONFIDENCE]&amp;1#_x000D_</oddHeader>
    <oddFooter>&amp;C_x000D_&amp;1#&amp;"Calibri"&amp;9&amp;K000000 [IN-CONFIDENCE]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7"/>
  <sheetViews>
    <sheetView showGridLines="0" topLeftCell="A112" workbookViewId="0">
      <selection sqref="A1:J1"/>
    </sheetView>
  </sheetViews>
  <sheetFormatPr defaultColWidth="11.42578125" defaultRowHeight="15" x14ac:dyDescent="0.25"/>
  <cols>
    <col min="1" max="1" width="50.7109375" customWidth="1"/>
    <col min="2" max="2" width="25.7109375" customWidth="1"/>
    <col min="3" max="8" width="17.7109375" customWidth="1"/>
    <col min="9" max="9" width="60.7109375" customWidth="1"/>
  </cols>
  <sheetData>
    <row r="1" spans="1:16" ht="31.5" x14ac:dyDescent="0.25">
      <c r="A1" s="98" t="s">
        <v>46</v>
      </c>
      <c r="B1" s="97"/>
      <c r="C1" s="97"/>
      <c r="D1" s="97"/>
      <c r="E1" s="97"/>
      <c r="F1" s="97"/>
      <c r="G1" s="97"/>
      <c r="H1" s="97"/>
      <c r="I1" s="97"/>
      <c r="J1" s="97"/>
    </row>
    <row r="2" spans="1:16" ht="23.25" x14ac:dyDescent="0.25">
      <c r="A2" s="99" t="s">
        <v>594</v>
      </c>
      <c r="B2" s="97"/>
      <c r="C2" s="97"/>
      <c r="D2" s="97"/>
      <c r="E2" s="97"/>
      <c r="F2" s="97"/>
      <c r="G2" s="97"/>
      <c r="H2" s="97"/>
      <c r="I2" s="97"/>
      <c r="J2" s="97"/>
    </row>
    <row r="4" spans="1:16" ht="31.5" x14ac:dyDescent="0.25">
      <c r="A4" s="98" t="s">
        <v>1043</v>
      </c>
      <c r="B4" s="97"/>
      <c r="C4" s="97"/>
      <c r="D4" s="97"/>
      <c r="E4" s="97"/>
      <c r="F4" s="97"/>
      <c r="G4" s="97"/>
      <c r="H4" s="97"/>
      <c r="I4" s="97"/>
      <c r="J4" s="97"/>
    </row>
    <row r="5" spans="1:16" x14ac:dyDescent="0.25">
      <c r="A5" s="100" t="s">
        <v>49</v>
      </c>
      <c r="B5" s="97"/>
      <c r="C5" s="97"/>
      <c r="D5" s="97"/>
      <c r="E5" s="97"/>
      <c r="F5" s="97"/>
      <c r="G5" s="97"/>
      <c r="H5" s="97"/>
      <c r="I5" s="97"/>
      <c r="J5" s="97"/>
    </row>
    <row r="6" spans="1:16" x14ac:dyDescent="0.25">
      <c r="A6" s="101" t="s">
        <v>1044</v>
      </c>
      <c r="B6" s="97"/>
      <c r="C6" s="97"/>
      <c r="D6" s="97"/>
      <c r="E6" s="97"/>
      <c r="F6" s="97"/>
      <c r="G6" s="97"/>
      <c r="H6" s="97"/>
      <c r="I6" s="97"/>
      <c r="J6" s="97"/>
    </row>
    <row r="8" spans="1:16" x14ac:dyDescent="0.25">
      <c r="A8" s="104" t="s">
        <v>1045</v>
      </c>
      <c r="B8" s="97"/>
      <c r="C8" s="97"/>
      <c r="D8" s="97"/>
      <c r="E8" s="58" t="s">
        <v>52</v>
      </c>
      <c r="F8" s="58" t="s">
        <v>53</v>
      </c>
      <c r="G8" s="58" t="s">
        <v>54</v>
      </c>
      <c r="H8" s="58" t="s">
        <v>55</v>
      </c>
    </row>
    <row r="9" spans="1:16" x14ac:dyDescent="0.25">
      <c r="A9" s="97"/>
      <c r="B9" s="97"/>
      <c r="C9" s="97"/>
      <c r="D9" s="97"/>
      <c r="E9" s="75">
        <f>E16+E44+E102+E160+E218+E226+E250+E280+E310+E316+E324+E332+E339+E372+E377</f>
        <v>0</v>
      </c>
      <c r="F9" s="56">
        <f>F16+F44+F102+F160+F218+F226+F250+F280+F310+F316+F324+F332+F339+F372+F377</f>
        <v>0</v>
      </c>
      <c r="G9" s="56">
        <f>G16+G44+G102+G160+G218+G226+G250+G280+G310+G316+G324+G332+G339+G372+G377</f>
        <v>0</v>
      </c>
      <c r="H9" s="56">
        <f>H16+H44+H102+H160+H218+H226+H250+H280+H310+H316+H324+H332+H339+H372+H377</f>
        <v>0</v>
      </c>
    </row>
    <row r="11" spans="1:16" x14ac:dyDescent="0.25">
      <c r="A11" s="92" t="s">
        <v>1046</v>
      </c>
      <c r="B11" s="92"/>
      <c r="C11" s="92"/>
      <c r="D11" s="92"/>
      <c r="E11" s="92"/>
      <c r="F11" s="92"/>
      <c r="G11" s="92"/>
      <c r="H11" s="92"/>
      <c r="I11" s="92"/>
    </row>
    <row r="12" spans="1:16" x14ac:dyDescent="0.25">
      <c r="A12" s="93" t="s">
        <v>60</v>
      </c>
      <c r="B12" s="93"/>
      <c r="C12" s="59" t="s">
        <v>61</v>
      </c>
      <c r="D12" s="60" t="s">
        <v>62</v>
      </c>
      <c r="E12" s="58" t="s">
        <v>63</v>
      </c>
      <c r="F12" s="58" t="s">
        <v>64</v>
      </c>
      <c r="G12" s="58" t="s">
        <v>65</v>
      </c>
      <c r="H12" s="58" t="s">
        <v>66</v>
      </c>
      <c r="I12" s="59" t="s">
        <v>240</v>
      </c>
      <c r="P12" s="61" t="s">
        <v>68</v>
      </c>
    </row>
    <row r="13" spans="1:16" x14ac:dyDescent="0.25">
      <c r="A13" s="95" t="s">
        <v>1047</v>
      </c>
      <c r="B13" s="52" t="s">
        <v>1047</v>
      </c>
      <c r="C13" s="52" t="s">
        <v>1048</v>
      </c>
      <c r="D13" s="50"/>
      <c r="E13" s="56">
        <f>F13 + G13 + H13</f>
        <v>0</v>
      </c>
      <c r="F13" s="57">
        <f>D13 * 0.1033775412</f>
        <v>0</v>
      </c>
      <c r="G13" s="57">
        <f>D13 * 0.0001550473</f>
        <v>0</v>
      </c>
      <c r="H13" s="57">
        <f>D13 * 0.0014674115</f>
        <v>0</v>
      </c>
      <c r="I13" s="52" t="s">
        <v>1049</v>
      </c>
      <c r="P13" s="64" t="s">
        <v>1050</v>
      </c>
    </row>
    <row r="14" spans="1:16" x14ac:dyDescent="0.25">
      <c r="A14" s="95" t="s">
        <v>1051</v>
      </c>
      <c r="B14" s="52" t="s">
        <v>1051</v>
      </c>
      <c r="C14" s="52" t="s">
        <v>1048</v>
      </c>
      <c r="D14" s="50"/>
      <c r="E14" s="56">
        <f>F14 + G14 + H14</f>
        <v>0</v>
      </c>
      <c r="F14" s="57">
        <f>D14 * 0.3839737246</f>
        <v>0</v>
      </c>
      <c r="G14" s="57">
        <f>D14 * 0.0005758898</f>
        <v>0</v>
      </c>
      <c r="H14" s="57">
        <f>D14 * 0.0054503856</f>
        <v>0</v>
      </c>
      <c r="I14" s="52" t="s">
        <v>1052</v>
      </c>
      <c r="P14" s="64" t="s">
        <v>1053</v>
      </c>
    </row>
    <row r="15" spans="1:16" x14ac:dyDescent="0.25">
      <c r="A15" s="62" t="s">
        <v>1054</v>
      </c>
      <c r="B15" s="52" t="s">
        <v>1054</v>
      </c>
      <c r="C15" s="52" t="s">
        <v>1048</v>
      </c>
      <c r="D15" s="50"/>
      <c r="E15" s="56">
        <f>F15 + G15 + H15</f>
        <v>0</v>
      </c>
      <c r="F15" s="57">
        <f>D15 * 0.1329139816</f>
        <v>0</v>
      </c>
      <c r="G15" s="57">
        <f>D15 * 0.0001993465</f>
        <v>0</v>
      </c>
      <c r="H15" s="57">
        <f>D15 * 0.0018866719</f>
        <v>0</v>
      </c>
      <c r="I15" s="52" t="s">
        <v>1055</v>
      </c>
      <c r="P15" s="64" t="s">
        <v>1056</v>
      </c>
    </row>
    <row r="16" spans="1:16" x14ac:dyDescent="0.25">
      <c r="D16" s="65" t="s">
        <v>116</v>
      </c>
      <c r="E16" s="56">
        <f>SUM(E13:E15)</f>
        <v>0</v>
      </c>
      <c r="F16" s="57">
        <f>SUM(F13:F15)</f>
        <v>0</v>
      </c>
      <c r="G16" s="57">
        <f>SUM(G13:G15)</f>
        <v>0</v>
      </c>
      <c r="H16" s="57">
        <f>SUM(H13:H15)</f>
        <v>0</v>
      </c>
    </row>
    <row r="18" spans="1:16" x14ac:dyDescent="0.25">
      <c r="A18" s="92" t="s">
        <v>1057</v>
      </c>
      <c r="B18" s="92"/>
      <c r="C18" s="92"/>
      <c r="D18" s="92"/>
      <c r="E18" s="92"/>
      <c r="F18" s="92"/>
      <c r="G18" s="92"/>
      <c r="H18" s="92"/>
    </row>
    <row r="19" spans="1:16" x14ac:dyDescent="0.25">
      <c r="A19" s="93" t="s">
        <v>623</v>
      </c>
      <c r="B19" s="93"/>
      <c r="C19" s="59" t="s">
        <v>61</v>
      </c>
      <c r="D19" s="60" t="s">
        <v>62</v>
      </c>
      <c r="E19" s="58" t="s">
        <v>63</v>
      </c>
      <c r="F19" s="58" t="s">
        <v>64</v>
      </c>
      <c r="G19" s="58" t="s">
        <v>65</v>
      </c>
      <c r="H19" s="58" t="s">
        <v>66</v>
      </c>
      <c r="P19" s="61" t="s">
        <v>68</v>
      </c>
    </row>
    <row r="20" spans="1:16" x14ac:dyDescent="0.25">
      <c r="A20" s="95" t="s">
        <v>60</v>
      </c>
      <c r="B20" s="94" t="s">
        <v>819</v>
      </c>
      <c r="C20" s="94"/>
      <c r="D20" s="94"/>
      <c r="E20" s="94"/>
      <c r="F20" s="94"/>
      <c r="G20" s="94"/>
      <c r="H20" s="94"/>
    </row>
    <row r="21" spans="1:16" x14ac:dyDescent="0.25">
      <c r="A21" s="95"/>
      <c r="B21" s="52" t="s">
        <v>625</v>
      </c>
      <c r="C21" s="52" t="s">
        <v>626</v>
      </c>
      <c r="D21" s="50"/>
      <c r="E21" s="56">
        <f>F21 + G21 + H21</f>
        <v>0</v>
      </c>
      <c r="F21" s="57">
        <f>D21 * 0.2038050988</f>
        <v>0</v>
      </c>
      <c r="G21" s="57">
        <f>D21 * 0.0027143467</f>
        <v>0</v>
      </c>
      <c r="H21" s="57">
        <f>D21 * 0.0062277218</f>
        <v>0</v>
      </c>
      <c r="P21" s="64" t="s">
        <v>1058</v>
      </c>
    </row>
    <row r="22" spans="1:16" x14ac:dyDescent="0.25">
      <c r="A22" s="95"/>
      <c r="B22" s="52" t="s">
        <v>1059</v>
      </c>
      <c r="C22" s="52" t="s">
        <v>626</v>
      </c>
      <c r="D22" s="50"/>
      <c r="E22" s="56">
        <f>F22 + G22 + H22</f>
        <v>0</v>
      </c>
      <c r="F22" s="57">
        <f>D22 * 0.2188357248</f>
        <v>0</v>
      </c>
      <c r="G22" s="57">
        <f>D22 * 0.0029145298</f>
        <v>0</v>
      </c>
      <c r="H22" s="57">
        <f>D22 * 0.0066870163</f>
        <v>0</v>
      </c>
      <c r="P22" s="64" t="s">
        <v>1060</v>
      </c>
    </row>
    <row r="23" spans="1:16" x14ac:dyDescent="0.25">
      <c r="A23" s="95"/>
      <c r="B23" s="52" t="s">
        <v>1061</v>
      </c>
      <c r="C23" s="52" t="s">
        <v>626</v>
      </c>
      <c r="D23" s="50"/>
      <c r="E23" s="56">
        <f>F23 + G23 + H23</f>
        <v>0</v>
      </c>
      <c r="F23" s="57">
        <f>D23 * 0.2952626369</f>
        <v>0</v>
      </c>
      <c r="G23" s="57">
        <f>D23 * 0.0039324098</f>
        <v>0</v>
      </c>
      <c r="H23" s="57">
        <f>D23 * 0.009022412</f>
        <v>0</v>
      </c>
      <c r="P23" s="64" t="s">
        <v>1062</v>
      </c>
    </row>
    <row r="24" spans="1:16" x14ac:dyDescent="0.25">
      <c r="A24" s="95"/>
      <c r="B24" s="52" t="s">
        <v>1063</v>
      </c>
      <c r="C24" s="52" t="s">
        <v>626</v>
      </c>
      <c r="D24" s="50"/>
      <c r="E24" s="56">
        <f>F24 + G24 + H24</f>
        <v>0</v>
      </c>
      <c r="F24" s="57">
        <f>D24 * 0.3123313139</f>
        <v>0</v>
      </c>
      <c r="G24" s="57">
        <f>D24 * 0.0041597363</f>
        <v>0</v>
      </c>
      <c r="H24" s="57">
        <f>D24 * 0.0095439837</f>
        <v>0</v>
      </c>
      <c r="P24" s="64" t="s">
        <v>1064</v>
      </c>
    </row>
    <row r="25" spans="1:16" x14ac:dyDescent="0.25">
      <c r="A25" s="95"/>
      <c r="B25" s="52" t="s">
        <v>634</v>
      </c>
      <c r="C25" s="52" t="s">
        <v>626</v>
      </c>
      <c r="D25" s="50"/>
      <c r="E25" s="56">
        <f>F25 + G25 + H25</f>
        <v>0</v>
      </c>
      <c r="F25" s="57">
        <f>D25 * 0.3566589229</f>
        <v>0</v>
      </c>
      <c r="G25" s="57">
        <f>D25 * 0.0047501067</f>
        <v>0</v>
      </c>
      <c r="H25" s="57">
        <f>D25 * 0.0108985132</f>
        <v>0</v>
      </c>
      <c r="P25" s="64" t="s">
        <v>1065</v>
      </c>
    </row>
    <row r="26" spans="1:16" x14ac:dyDescent="0.25">
      <c r="A26" s="95"/>
      <c r="B26" s="94" t="s">
        <v>89</v>
      </c>
      <c r="C26" s="94"/>
      <c r="D26" s="94"/>
      <c r="E26" s="94"/>
      <c r="F26" s="94"/>
      <c r="G26" s="94"/>
      <c r="H26" s="94"/>
    </row>
    <row r="27" spans="1:16" x14ac:dyDescent="0.25">
      <c r="A27" s="95"/>
      <c r="B27" s="52" t="s">
        <v>625</v>
      </c>
      <c r="C27" s="52" t="s">
        <v>626</v>
      </c>
      <c r="D27" s="50"/>
      <c r="E27" s="56">
        <f>F27 + G27 + H27</f>
        <v>0</v>
      </c>
      <c r="F27" s="57">
        <f>D27 * 0.2187862898</f>
        <v>0</v>
      </c>
      <c r="G27" s="57">
        <f>D27 * 0.0003281391</f>
        <v>0</v>
      </c>
      <c r="H27" s="57">
        <f>D27 * 0.0031056022</f>
        <v>0</v>
      </c>
      <c r="P27" s="64" t="s">
        <v>1066</v>
      </c>
    </row>
    <row r="28" spans="1:16" x14ac:dyDescent="0.25">
      <c r="A28" s="95"/>
      <c r="B28" s="52" t="s">
        <v>1059</v>
      </c>
      <c r="C28" s="52" t="s">
        <v>626</v>
      </c>
      <c r="D28" s="50"/>
      <c r="E28" s="56">
        <f>F28 + G28 + H28</f>
        <v>0</v>
      </c>
      <c r="F28" s="57">
        <f>D28 * 0.210541064</f>
        <v>0</v>
      </c>
      <c r="G28" s="57">
        <f>D28 * 0.0003157728</f>
        <v>0</v>
      </c>
      <c r="H28" s="57">
        <f>D28 * 0.0029885638</f>
        <v>0</v>
      </c>
      <c r="P28" s="64" t="s">
        <v>1067</v>
      </c>
    </row>
    <row r="29" spans="1:16" x14ac:dyDescent="0.25">
      <c r="A29" s="95"/>
      <c r="B29" s="52" t="s">
        <v>1061</v>
      </c>
      <c r="C29" s="52" t="s">
        <v>626</v>
      </c>
      <c r="D29" s="50"/>
      <c r="E29" s="56">
        <f>F29 + G29 + H29</f>
        <v>0</v>
      </c>
      <c r="F29" s="57">
        <f>D29 * 0.2802762356</f>
        <v>0</v>
      </c>
      <c r="G29" s="57">
        <f>D29 * 0.0004203627</f>
        <v>0</v>
      </c>
      <c r="H29" s="57">
        <f>D29 * 0.0039784325</f>
        <v>0</v>
      </c>
      <c r="P29" s="64" t="s">
        <v>1068</v>
      </c>
    </row>
    <row r="30" spans="1:16" x14ac:dyDescent="0.25">
      <c r="A30" s="95"/>
      <c r="B30" s="52" t="s">
        <v>1063</v>
      </c>
      <c r="C30" s="52" t="s">
        <v>626</v>
      </c>
      <c r="D30" s="50"/>
      <c r="E30" s="56">
        <f>F30 + G30 + H30</f>
        <v>0</v>
      </c>
      <c r="F30" s="57">
        <f>D30 * 0.3005281261</f>
        <v>0</v>
      </c>
      <c r="G30" s="57">
        <f>D30 * 0.0004507368</f>
        <v>0</v>
      </c>
      <c r="H30" s="57">
        <f>D30 * 0.0042659017</f>
        <v>0</v>
      </c>
      <c r="P30" s="64" t="s">
        <v>1069</v>
      </c>
    </row>
    <row r="31" spans="1:16" x14ac:dyDescent="0.25">
      <c r="A31" s="95"/>
      <c r="B31" s="52" t="s">
        <v>634</v>
      </c>
      <c r="C31" s="52" t="s">
        <v>626</v>
      </c>
      <c r="D31" s="50"/>
      <c r="E31" s="56">
        <f>F31 + G31 + H31</f>
        <v>0</v>
      </c>
      <c r="F31" s="57">
        <f>D31 * 0.3043102124</f>
        <v>0</v>
      </c>
      <c r="G31" s="57">
        <f>D31 * 0.0004564092</f>
        <v>0</v>
      </c>
      <c r="H31" s="57">
        <f>D31 * 0.0043195872</f>
        <v>0</v>
      </c>
      <c r="P31" s="64" t="s">
        <v>1070</v>
      </c>
    </row>
    <row r="32" spans="1:16" x14ac:dyDescent="0.25">
      <c r="A32" s="95"/>
      <c r="B32" s="94" t="s">
        <v>822</v>
      </c>
      <c r="C32" s="94"/>
      <c r="D32" s="94"/>
      <c r="E32" s="94"/>
      <c r="F32" s="94"/>
      <c r="G32" s="94"/>
      <c r="H32" s="94"/>
    </row>
    <row r="33" spans="1:16" x14ac:dyDescent="0.25">
      <c r="A33" s="95"/>
      <c r="B33" s="52" t="s">
        <v>625</v>
      </c>
      <c r="C33" s="52" t="s">
        <v>626</v>
      </c>
      <c r="D33" s="50"/>
      <c r="E33" s="56">
        <f>F33 + G33 + H33</f>
        <v>0</v>
      </c>
      <c r="F33" s="57">
        <f>D33 * 0.1608987622</f>
        <v>0</v>
      </c>
      <c r="G33" s="57">
        <f>D33 * 0.0021429053</f>
        <v>0</v>
      </c>
      <c r="H33" s="57">
        <f>D33 * 0.0049166225</f>
        <v>0</v>
      </c>
      <c r="P33" s="64" t="s">
        <v>1071</v>
      </c>
    </row>
    <row r="34" spans="1:16" x14ac:dyDescent="0.25">
      <c r="A34" s="95"/>
      <c r="B34" s="52" t="s">
        <v>1059</v>
      </c>
      <c r="C34" s="52" t="s">
        <v>626</v>
      </c>
      <c r="D34" s="50"/>
      <c r="E34" s="56">
        <f>F34 + G34 + H34</f>
        <v>0</v>
      </c>
      <c r="F34" s="57">
        <f>D34 * 0.1727650459</f>
        <v>0</v>
      </c>
      <c r="G34" s="57">
        <f>D34 * 0.0023009445</f>
        <v>0</v>
      </c>
      <c r="H34" s="57">
        <f>D34 * 0.0052792234</f>
        <v>0</v>
      </c>
      <c r="P34" s="64" t="s">
        <v>1072</v>
      </c>
    </row>
    <row r="35" spans="1:16" x14ac:dyDescent="0.25">
      <c r="A35" s="95"/>
      <c r="B35" s="52" t="s">
        <v>1061</v>
      </c>
      <c r="C35" s="52" t="s">
        <v>626</v>
      </c>
      <c r="D35" s="50"/>
      <c r="E35" s="56">
        <f>F35 + G35 + H35</f>
        <v>0</v>
      </c>
      <c r="F35" s="57">
        <f>D35 * 0.2331020818</f>
        <v>0</v>
      </c>
      <c r="G35" s="57">
        <f>D35 * 0.003104534</f>
        <v>0</v>
      </c>
      <c r="H35" s="57">
        <f>D35 * 0.0071229569</f>
        <v>0</v>
      </c>
      <c r="P35" s="64" t="s">
        <v>1073</v>
      </c>
    </row>
    <row r="36" spans="1:16" x14ac:dyDescent="0.25">
      <c r="A36" s="95"/>
      <c r="B36" s="52" t="s">
        <v>1063</v>
      </c>
      <c r="C36" s="52" t="s">
        <v>626</v>
      </c>
      <c r="D36" s="50"/>
      <c r="E36" s="56">
        <f>F36 + G36 + H36</f>
        <v>0</v>
      </c>
      <c r="F36" s="57">
        <f>D36 * 0.2465773531</f>
        <v>0</v>
      </c>
      <c r="G36" s="57">
        <f>D36 * 0.0032840023</f>
        <v>0</v>
      </c>
      <c r="H36" s="57">
        <f>D36 * 0.007534724</f>
        <v>0</v>
      </c>
      <c r="P36" s="64" t="s">
        <v>1074</v>
      </c>
    </row>
    <row r="37" spans="1:16" x14ac:dyDescent="0.25">
      <c r="A37" s="95"/>
      <c r="B37" s="52" t="s">
        <v>634</v>
      </c>
      <c r="C37" s="52" t="s">
        <v>626</v>
      </c>
      <c r="D37" s="50"/>
      <c r="E37" s="56">
        <f>F37 + G37 + H37</f>
        <v>0</v>
      </c>
      <c r="F37" s="57">
        <f>D37 * 0.2815728339</f>
        <v>0</v>
      </c>
      <c r="G37" s="57">
        <f>D37 * 0.0037500842</f>
        <v>0</v>
      </c>
      <c r="H37" s="57">
        <f>D37 * 0.0086040894</f>
        <v>0</v>
      </c>
      <c r="P37" s="64" t="s">
        <v>1075</v>
      </c>
    </row>
    <row r="38" spans="1:16" x14ac:dyDescent="0.25">
      <c r="A38" s="95"/>
      <c r="B38" s="94" t="s">
        <v>824</v>
      </c>
      <c r="C38" s="94"/>
      <c r="D38" s="94"/>
      <c r="E38" s="94"/>
      <c r="F38" s="94"/>
      <c r="G38" s="94"/>
      <c r="H38" s="94"/>
    </row>
    <row r="39" spans="1:16" x14ac:dyDescent="0.25">
      <c r="A39" s="95"/>
      <c r="B39" s="52" t="s">
        <v>625</v>
      </c>
      <c r="C39" s="52" t="s">
        <v>626</v>
      </c>
      <c r="D39" s="50"/>
      <c r="E39" s="56">
        <f>F39 + G39 + H39</f>
        <v>0</v>
      </c>
      <c r="F39" s="57">
        <f>D39 * 0.1961262812</f>
        <v>0</v>
      </c>
      <c r="G39" s="57">
        <f>D39 * 0.0002941533</f>
        <v>0</v>
      </c>
      <c r="H39" s="57">
        <f>D39 * 0.0027839505</f>
        <v>0</v>
      </c>
      <c r="P39" s="64" t="s">
        <v>1076</v>
      </c>
    </row>
    <row r="40" spans="1:16" x14ac:dyDescent="0.25">
      <c r="A40" s="95"/>
      <c r="B40" s="52" t="s">
        <v>1059</v>
      </c>
      <c r="C40" s="52" t="s">
        <v>626</v>
      </c>
      <c r="D40" s="50"/>
      <c r="E40" s="56">
        <f>F40 + G40 + H40</f>
        <v>0</v>
      </c>
      <c r="F40" s="57">
        <f>D40 * 0.1887350253</f>
        <v>0</v>
      </c>
      <c r="G40" s="57">
        <f>D40 * 0.0002830677</f>
        <v>0</v>
      </c>
      <c r="H40" s="57">
        <f>D40 * 0.002679034</f>
        <v>0</v>
      </c>
      <c r="P40" s="64" t="s">
        <v>1077</v>
      </c>
    </row>
    <row r="41" spans="1:16" x14ac:dyDescent="0.25">
      <c r="A41" s="95"/>
      <c r="B41" s="52" t="s">
        <v>1061</v>
      </c>
      <c r="C41" s="52" t="s">
        <v>626</v>
      </c>
      <c r="D41" s="50"/>
      <c r="E41" s="56">
        <f>F41 + G41 + H41</f>
        <v>0</v>
      </c>
      <c r="F41" s="57">
        <f>D41 * 0.2512476255</f>
        <v>0</v>
      </c>
      <c r="G41" s="57">
        <f>D41 * 0.0003768251</f>
        <v>0</v>
      </c>
      <c r="H41" s="57">
        <f>D41 * 0.0035663806</f>
        <v>0</v>
      </c>
      <c r="P41" s="64" t="s">
        <v>1078</v>
      </c>
    </row>
    <row r="42" spans="1:16" x14ac:dyDescent="0.25">
      <c r="A42" s="95"/>
      <c r="B42" s="52" t="s">
        <v>1063</v>
      </c>
      <c r="C42" s="52" t="s">
        <v>626</v>
      </c>
      <c r="D42" s="50"/>
      <c r="E42" s="56">
        <f>F42 + G42 + H42</f>
        <v>0</v>
      </c>
      <c r="F42" s="57">
        <f>D42 * 0.2694019987</f>
        <v>0</v>
      </c>
      <c r="G42" s="57">
        <f>D42 * 0.0004040533</f>
        <v>0</v>
      </c>
      <c r="H42" s="57">
        <f>D42 * 0.0038240762</f>
        <v>0</v>
      </c>
      <c r="P42" s="64" t="s">
        <v>1079</v>
      </c>
    </row>
    <row r="43" spans="1:16" x14ac:dyDescent="0.25">
      <c r="A43" s="95"/>
      <c r="B43" s="52" t="s">
        <v>634</v>
      </c>
      <c r="C43" s="52" t="s">
        <v>626</v>
      </c>
      <c r="D43" s="50"/>
      <c r="E43" s="56">
        <f>F43 + G43 + H43</f>
        <v>0</v>
      </c>
      <c r="F43" s="57">
        <f>D43 * 0.272792369</f>
        <v>0</v>
      </c>
      <c r="G43" s="57">
        <f>D43 * 0.0004091383</f>
        <v>0</v>
      </c>
      <c r="H43" s="57">
        <f>D43 * 0.0038722014</f>
        <v>0</v>
      </c>
      <c r="P43" s="64" t="s">
        <v>1080</v>
      </c>
    </row>
    <row r="44" spans="1:16" x14ac:dyDescent="0.25">
      <c r="D44" s="65" t="s">
        <v>116</v>
      </c>
      <c r="E44" s="56">
        <f>SUM(E20:E43)</f>
        <v>0</v>
      </c>
      <c r="F44" s="57">
        <f>SUM(F20:F43)</f>
        <v>0</v>
      </c>
      <c r="G44" s="57">
        <f>SUM(G20:G43)</f>
        <v>0</v>
      </c>
      <c r="H44" s="57">
        <f>SUM(H20:H43)</f>
        <v>0</v>
      </c>
    </row>
    <row r="46" spans="1:16" x14ac:dyDescent="0.25">
      <c r="A46" s="92" t="s">
        <v>1057</v>
      </c>
      <c r="B46" s="92"/>
      <c r="C46" s="92"/>
      <c r="D46" s="92"/>
      <c r="E46" s="92"/>
      <c r="F46" s="92"/>
      <c r="G46" s="92"/>
      <c r="H46" s="92"/>
    </row>
    <row r="47" spans="1:16" x14ac:dyDescent="0.25">
      <c r="A47" s="93" t="s">
        <v>1081</v>
      </c>
      <c r="B47" s="93"/>
      <c r="C47" s="59" t="s">
        <v>61</v>
      </c>
      <c r="D47" s="60" t="s">
        <v>62</v>
      </c>
      <c r="E47" s="58" t="s">
        <v>63</v>
      </c>
      <c r="F47" s="58" t="s">
        <v>64</v>
      </c>
      <c r="G47" s="58" t="s">
        <v>65</v>
      </c>
      <c r="H47" s="58" t="s">
        <v>66</v>
      </c>
      <c r="P47" s="61" t="s">
        <v>68</v>
      </c>
    </row>
    <row r="48" spans="1:16" x14ac:dyDescent="0.25">
      <c r="A48" s="95" t="s">
        <v>60</v>
      </c>
      <c r="B48" s="94" t="s">
        <v>819</v>
      </c>
      <c r="C48" s="94"/>
      <c r="D48" s="94"/>
      <c r="E48" s="94"/>
      <c r="F48" s="94"/>
      <c r="G48" s="94"/>
      <c r="H48" s="94"/>
    </row>
    <row r="49" spans="1:16" x14ac:dyDescent="0.25">
      <c r="A49" s="95"/>
      <c r="B49" s="52" t="s">
        <v>625</v>
      </c>
      <c r="C49" s="52" t="s">
        <v>626</v>
      </c>
      <c r="D49" s="50"/>
      <c r="E49" s="56">
        <f>F49 + G49 + H49</f>
        <v>0</v>
      </c>
      <c r="F49" s="57">
        <f>D49 * 0.1805589125</f>
        <v>0</v>
      </c>
      <c r="G49" s="57">
        <f>D49 * 0.002404746</f>
        <v>0</v>
      </c>
      <c r="H49" s="57">
        <f>D49 * 0.0055173825</f>
        <v>0</v>
      </c>
      <c r="P49" s="64" t="s">
        <v>1082</v>
      </c>
    </row>
    <row r="50" spans="1:16" x14ac:dyDescent="0.25">
      <c r="A50" s="95"/>
      <c r="B50" s="52" t="s">
        <v>1059</v>
      </c>
      <c r="C50" s="52" t="s">
        <v>626</v>
      </c>
      <c r="D50" s="50"/>
      <c r="E50" s="56">
        <f>F50 + G50 + H50</f>
        <v>0</v>
      </c>
      <c r="F50" s="57">
        <f>D50 * 0.1938751323</f>
        <v>0</v>
      </c>
      <c r="G50" s="57">
        <f>D50 * 0.002582096</f>
        <v>0</v>
      </c>
      <c r="H50" s="57">
        <f>D50 * 0.0059242895</f>
        <v>0</v>
      </c>
      <c r="P50" s="64" t="s">
        <v>1083</v>
      </c>
    </row>
    <row r="51" spans="1:16" x14ac:dyDescent="0.25">
      <c r="A51" s="95"/>
      <c r="B51" s="52" t="s">
        <v>1061</v>
      </c>
      <c r="C51" s="52" t="s">
        <v>626</v>
      </c>
      <c r="D51" s="50"/>
      <c r="E51" s="56">
        <f>F51 + G51 + H51</f>
        <v>0</v>
      </c>
      <c r="F51" s="57">
        <f>D51 * 0.2615847245</f>
        <v>0</v>
      </c>
      <c r="G51" s="57">
        <f>D51 * 0.0034838757</f>
        <v>0</v>
      </c>
      <c r="H51" s="57">
        <f>D51 * 0.0079933079</f>
        <v>0</v>
      </c>
      <c r="P51" s="64" t="s">
        <v>1084</v>
      </c>
    </row>
    <row r="52" spans="1:16" x14ac:dyDescent="0.25">
      <c r="A52" s="95"/>
      <c r="B52" s="52" t="s">
        <v>1063</v>
      </c>
      <c r="C52" s="52" t="s">
        <v>626</v>
      </c>
      <c r="D52" s="50"/>
      <c r="E52" s="56">
        <f>F52 + G52 + H52</f>
        <v>0</v>
      </c>
      <c r="F52" s="57">
        <f>D52 * 0.2767065334</f>
        <v>0</v>
      </c>
      <c r="G52" s="57">
        <f>D52 * 0.0036852732</f>
        <v>0</v>
      </c>
      <c r="H52" s="57">
        <f>D52 * 0.0084553887</f>
        <v>0</v>
      </c>
      <c r="P52" s="64" t="s">
        <v>1085</v>
      </c>
    </row>
    <row r="53" spans="1:16" x14ac:dyDescent="0.25">
      <c r="A53" s="95"/>
      <c r="B53" s="52" t="s">
        <v>634</v>
      </c>
      <c r="C53" s="52" t="s">
        <v>626</v>
      </c>
      <c r="D53" s="50"/>
      <c r="E53" s="56">
        <f>F53 + G53 + H53</f>
        <v>0</v>
      </c>
      <c r="F53" s="57">
        <f>D53 * 0.315978097</f>
        <v>0</v>
      </c>
      <c r="G53" s="57">
        <f>D53 * 0.0042083054</f>
        <v>0</v>
      </c>
      <c r="H53" s="57">
        <f>D53 * 0.0096554194</f>
        <v>0</v>
      </c>
      <c r="P53" s="64" t="s">
        <v>1086</v>
      </c>
    </row>
    <row r="54" spans="1:16" x14ac:dyDescent="0.25">
      <c r="A54" s="95"/>
      <c r="B54" s="94" t="s">
        <v>89</v>
      </c>
      <c r="C54" s="94"/>
      <c r="D54" s="94"/>
      <c r="E54" s="94"/>
      <c r="F54" s="94"/>
      <c r="G54" s="94"/>
      <c r="H54" s="94"/>
    </row>
    <row r="55" spans="1:16" x14ac:dyDescent="0.25">
      <c r="A55" s="95"/>
      <c r="B55" s="52" t="s">
        <v>625</v>
      </c>
      <c r="C55" s="52" t="s">
        <v>626</v>
      </c>
      <c r="D55" s="50"/>
      <c r="E55" s="56">
        <f>F55 + G55 + H55</f>
        <v>0</v>
      </c>
      <c r="F55" s="57">
        <f>D55 * 0.1938313359</f>
        <v>0</v>
      </c>
      <c r="G55" s="57">
        <f>D55 * 0.0002907113</f>
        <v>0</v>
      </c>
      <c r="H55" s="57">
        <f>D55 * 0.0027513745</f>
        <v>0</v>
      </c>
      <c r="P55" s="64" t="s">
        <v>1087</v>
      </c>
    </row>
    <row r="56" spans="1:16" x14ac:dyDescent="0.25">
      <c r="A56" s="95"/>
      <c r="B56" s="52" t="s">
        <v>1059</v>
      </c>
      <c r="C56" s="52" t="s">
        <v>626</v>
      </c>
      <c r="D56" s="50"/>
      <c r="E56" s="56">
        <f>F56 + G56 + H56</f>
        <v>0</v>
      </c>
      <c r="F56" s="57">
        <f>D56 * 0.1865265677</f>
        <v>0</v>
      </c>
      <c r="G56" s="57">
        <f>D56 * 0.0002797555</f>
        <v>0</v>
      </c>
      <c r="H56" s="57">
        <f>D56 * 0.0026476857</f>
        <v>0</v>
      </c>
      <c r="P56" s="64" t="s">
        <v>1088</v>
      </c>
    </row>
    <row r="57" spans="1:16" x14ac:dyDescent="0.25">
      <c r="A57" s="95"/>
      <c r="B57" s="52" t="s">
        <v>1061</v>
      </c>
      <c r="C57" s="52" t="s">
        <v>626</v>
      </c>
      <c r="D57" s="50"/>
      <c r="E57" s="56">
        <f>F57 + G57 + H57</f>
        <v>0</v>
      </c>
      <c r="F57" s="57">
        <f>D57 * 0.2483076852</f>
        <v>0</v>
      </c>
      <c r="G57" s="57">
        <f>D57 * 0.0003724158</f>
        <v>0</v>
      </c>
      <c r="H57" s="57">
        <f>D57 * 0.0035246491</f>
        <v>0</v>
      </c>
      <c r="P57" s="64" t="s">
        <v>1089</v>
      </c>
    </row>
    <row r="58" spans="1:16" x14ac:dyDescent="0.25">
      <c r="A58" s="95"/>
      <c r="B58" s="52" t="s">
        <v>1063</v>
      </c>
      <c r="C58" s="52" t="s">
        <v>626</v>
      </c>
      <c r="D58" s="50"/>
      <c r="E58" s="56">
        <f>F58 + G58 + H58</f>
        <v>0</v>
      </c>
      <c r="F58" s="57">
        <f>D58 * 0.2662496274</f>
        <v>0</v>
      </c>
      <c r="G58" s="57">
        <f>D58 * 0.0003993254</f>
        <v>0</v>
      </c>
      <c r="H58" s="57">
        <f>D58 * 0.0037793293</f>
        <v>0</v>
      </c>
      <c r="P58" s="64" t="s">
        <v>1090</v>
      </c>
    </row>
    <row r="59" spans="1:16" x14ac:dyDescent="0.25">
      <c r="A59" s="95"/>
      <c r="B59" s="52" t="s">
        <v>634</v>
      </c>
      <c r="C59" s="52" t="s">
        <v>626</v>
      </c>
      <c r="D59" s="50"/>
      <c r="E59" s="56">
        <f>F59 + G59 + H59</f>
        <v>0</v>
      </c>
      <c r="F59" s="57">
        <f>D59 * 0.2696003258</f>
        <v>0</v>
      </c>
      <c r="G59" s="57">
        <f>D59 * 0.0004043508</f>
        <v>0</v>
      </c>
      <c r="H59" s="57">
        <f>D59 * 0.0038268914</f>
        <v>0</v>
      </c>
      <c r="P59" s="64" t="s">
        <v>1091</v>
      </c>
    </row>
    <row r="60" spans="1:16" x14ac:dyDescent="0.25">
      <c r="A60" s="95"/>
      <c r="B60" s="94" t="s">
        <v>822</v>
      </c>
      <c r="C60" s="94"/>
      <c r="D60" s="94"/>
      <c r="E60" s="94"/>
      <c r="F60" s="94"/>
      <c r="G60" s="94"/>
      <c r="H60" s="94"/>
    </row>
    <row r="61" spans="1:16" x14ac:dyDescent="0.25">
      <c r="A61" s="95"/>
      <c r="B61" s="52" t="s">
        <v>625</v>
      </c>
      <c r="C61" s="52" t="s">
        <v>626</v>
      </c>
      <c r="D61" s="50"/>
      <c r="E61" s="56">
        <f>F61 + G61 + H61</f>
        <v>0</v>
      </c>
      <c r="F61" s="57">
        <f>D61 * 0.1425465099</f>
        <v>0</v>
      </c>
      <c r="G61" s="57">
        <f>D61 * 0.0018984836</f>
        <v>0</v>
      </c>
      <c r="H61" s="57">
        <f>D61 * 0.0043558283</f>
        <v>0</v>
      </c>
      <c r="P61" s="64" t="s">
        <v>1092</v>
      </c>
    </row>
    <row r="62" spans="1:16" x14ac:dyDescent="0.25">
      <c r="A62" s="95"/>
      <c r="B62" s="52" t="s">
        <v>1059</v>
      </c>
      <c r="C62" s="52" t="s">
        <v>626</v>
      </c>
      <c r="D62" s="50"/>
      <c r="E62" s="56">
        <f>F62 + G62 + H62</f>
        <v>0</v>
      </c>
      <c r="F62" s="57">
        <f>D62 * 0.153059315</f>
        <v>0</v>
      </c>
      <c r="G62" s="57">
        <f>D62 * 0.0020384968</f>
        <v>0</v>
      </c>
      <c r="H62" s="57">
        <f>D62 * 0.0046770706</f>
        <v>0</v>
      </c>
      <c r="P62" s="64" t="s">
        <v>1093</v>
      </c>
    </row>
    <row r="63" spans="1:16" x14ac:dyDescent="0.25">
      <c r="A63" s="95"/>
      <c r="B63" s="52" t="s">
        <v>1061</v>
      </c>
      <c r="C63" s="52" t="s">
        <v>626</v>
      </c>
      <c r="D63" s="50"/>
      <c r="E63" s="56">
        <f>F63 + G63 + H63</f>
        <v>0</v>
      </c>
      <c r="F63" s="57">
        <f>D63 * 0.2065142562</f>
        <v>0</v>
      </c>
      <c r="G63" s="57">
        <f>D63 * 0.0027504282</f>
        <v>0</v>
      </c>
      <c r="H63" s="57">
        <f>D63 * 0.0063105062</f>
        <v>0</v>
      </c>
      <c r="P63" s="64" t="s">
        <v>1094</v>
      </c>
    </row>
    <row r="64" spans="1:16" x14ac:dyDescent="0.25">
      <c r="A64" s="95"/>
      <c r="B64" s="52" t="s">
        <v>1063</v>
      </c>
      <c r="C64" s="52" t="s">
        <v>626</v>
      </c>
      <c r="D64" s="50"/>
      <c r="E64" s="56">
        <f>F64 + G64 + H64</f>
        <v>0</v>
      </c>
      <c r="F64" s="57">
        <f>D64 * 0.2184525264</f>
        <v>0</v>
      </c>
      <c r="G64" s="57">
        <f>D64 * 0.0029094262</f>
        <v>0</v>
      </c>
      <c r="H64" s="57">
        <f>D64 * 0.0066753068</f>
        <v>0</v>
      </c>
      <c r="P64" s="64" t="s">
        <v>1095</v>
      </c>
    </row>
    <row r="65" spans="1:16" x14ac:dyDescent="0.25">
      <c r="A65" s="95"/>
      <c r="B65" s="52" t="s">
        <v>634</v>
      </c>
      <c r="C65" s="52" t="s">
        <v>626</v>
      </c>
      <c r="D65" s="50"/>
      <c r="E65" s="56">
        <f>F65 + G65 + H65</f>
        <v>0</v>
      </c>
      <c r="F65" s="57">
        <f>D65 * 0.2494563923</f>
        <v>0</v>
      </c>
      <c r="G65" s="57">
        <f>D65 * 0.0033223464</f>
        <v>0</v>
      </c>
      <c r="H65" s="57">
        <f>D65 * 0.0076226995</f>
        <v>0</v>
      </c>
      <c r="P65" s="64" t="s">
        <v>1096</v>
      </c>
    </row>
    <row r="66" spans="1:16" x14ac:dyDescent="0.25">
      <c r="A66" s="95"/>
      <c r="B66" s="94" t="s">
        <v>824</v>
      </c>
      <c r="C66" s="94"/>
      <c r="D66" s="94"/>
      <c r="E66" s="94"/>
      <c r="F66" s="94"/>
      <c r="G66" s="94"/>
      <c r="H66" s="94"/>
    </row>
    <row r="67" spans="1:16" x14ac:dyDescent="0.25">
      <c r="A67" s="95"/>
      <c r="B67" s="52" t="s">
        <v>625</v>
      </c>
      <c r="C67" s="52" t="s">
        <v>626</v>
      </c>
      <c r="D67" s="50"/>
      <c r="E67" s="56">
        <f>F67 + G67 + H67</f>
        <v>0</v>
      </c>
      <c r="F67" s="57">
        <f>D67 * 0.1738680494</f>
        <v>0</v>
      </c>
      <c r="G67" s="57">
        <f>D67 * 0.00026077</f>
        <v>0</v>
      </c>
      <c r="H67" s="57">
        <f>D67 * 0.002468002</f>
        <v>0</v>
      </c>
      <c r="P67" s="64" t="s">
        <v>1097</v>
      </c>
    </row>
    <row r="68" spans="1:16" x14ac:dyDescent="0.25">
      <c r="A68" s="95"/>
      <c r="B68" s="52" t="s">
        <v>1059</v>
      </c>
      <c r="C68" s="52" t="s">
        <v>626</v>
      </c>
      <c r="D68" s="50"/>
      <c r="E68" s="56">
        <f>F68 + G68 + H68</f>
        <v>0</v>
      </c>
      <c r="F68" s="57">
        <f>D68 * 0.1673156218</f>
        <v>0</v>
      </c>
      <c r="G68" s="57">
        <f>D68 * 0.0002509426</f>
        <v>0</v>
      </c>
      <c r="H68" s="57">
        <f>D68 * 0.0023749923</f>
        <v>0</v>
      </c>
      <c r="P68" s="64" t="s">
        <v>1098</v>
      </c>
    </row>
    <row r="69" spans="1:16" x14ac:dyDescent="0.25">
      <c r="A69" s="95"/>
      <c r="B69" s="52" t="s">
        <v>1061</v>
      </c>
      <c r="C69" s="52" t="s">
        <v>626</v>
      </c>
      <c r="D69" s="50"/>
      <c r="E69" s="56">
        <f>F69 + G69 + H69</f>
        <v>0</v>
      </c>
      <c r="F69" s="57">
        <f>D69 * 0.2227337117</f>
        <v>0</v>
      </c>
      <c r="G69" s="57">
        <f>D69 * 0.0003340595</f>
        <v>0</v>
      </c>
      <c r="H69" s="57">
        <f>D69 * 0.0031616346</f>
        <v>0</v>
      </c>
      <c r="P69" s="64" t="s">
        <v>1099</v>
      </c>
    </row>
    <row r="70" spans="1:16" x14ac:dyDescent="0.25">
      <c r="A70" s="95"/>
      <c r="B70" s="52" t="s">
        <v>1063</v>
      </c>
      <c r="C70" s="52" t="s">
        <v>626</v>
      </c>
      <c r="D70" s="50"/>
      <c r="E70" s="56">
        <f>F70 + G70 + H70</f>
        <v>0</v>
      </c>
      <c r="F70" s="57">
        <f>D70 * 0.238827758</f>
        <v>0</v>
      </c>
      <c r="G70" s="57">
        <f>D70 * 0.0003581976</f>
        <v>0</v>
      </c>
      <c r="H70" s="57">
        <f>D70 * 0.0033900845</f>
        <v>0</v>
      </c>
      <c r="P70" s="64" t="s">
        <v>1100</v>
      </c>
    </row>
    <row r="71" spans="1:16" x14ac:dyDescent="0.25">
      <c r="A71" s="95"/>
      <c r="B71" s="52" t="s">
        <v>634</v>
      </c>
      <c r="C71" s="52" t="s">
        <v>626</v>
      </c>
      <c r="D71" s="50"/>
      <c r="E71" s="56">
        <f>F71 + G71 + H71</f>
        <v>0</v>
      </c>
      <c r="F71" s="57">
        <f>D71 * 0.2418333575</f>
        <v>0</v>
      </c>
      <c r="G71" s="57">
        <f>D71 * 0.0003627055</f>
        <v>0</v>
      </c>
      <c r="H71" s="57">
        <f>D71 * 0.003432748</f>
        <v>0</v>
      </c>
      <c r="P71" s="64" t="s">
        <v>1101</v>
      </c>
    </row>
    <row r="72" spans="1:16" x14ac:dyDescent="0.25">
      <c r="A72" s="95"/>
      <c r="B72" s="94" t="s">
        <v>681</v>
      </c>
      <c r="C72" s="94"/>
      <c r="D72" s="94"/>
      <c r="E72" s="94"/>
      <c r="F72" s="94"/>
      <c r="G72" s="94"/>
      <c r="H72" s="94"/>
    </row>
    <row r="73" spans="1:16" x14ac:dyDescent="0.25">
      <c r="A73" s="95"/>
      <c r="B73" s="52" t="s">
        <v>625</v>
      </c>
      <c r="C73" s="52" t="s">
        <v>626</v>
      </c>
      <c r="D73" s="50"/>
      <c r="E73" s="56">
        <f>F73 + G73 + H73</f>
        <v>0</v>
      </c>
      <c r="F73" s="57">
        <f>D73 * 0.0745993402</f>
        <v>0</v>
      </c>
      <c r="G73" s="57">
        <f>D73 * 0.0009935398</f>
        <v>0</v>
      </c>
      <c r="H73" s="57">
        <f>D73 * 0.0022795501</f>
        <v>0</v>
      </c>
      <c r="P73" s="64" t="s">
        <v>1102</v>
      </c>
    </row>
    <row r="74" spans="1:16" x14ac:dyDescent="0.25">
      <c r="A74" s="95"/>
      <c r="B74" s="52" t="s">
        <v>1059</v>
      </c>
      <c r="C74" s="52" t="s">
        <v>626</v>
      </c>
      <c r="D74" s="50"/>
      <c r="E74" s="56">
        <f>F74 + G74 + H74</f>
        <v>0</v>
      </c>
      <c r="F74" s="57">
        <f>D74 * 0.0801010415</f>
        <v>0</v>
      </c>
      <c r="G74" s="57">
        <f>D74 * 0.0010668133</f>
        <v>0</v>
      </c>
      <c r="H74" s="57">
        <f>D74 * 0.002447667</f>
        <v>0</v>
      </c>
      <c r="P74" s="64" t="s">
        <v>1103</v>
      </c>
    </row>
    <row r="75" spans="1:16" x14ac:dyDescent="0.25">
      <c r="A75" s="95"/>
      <c r="B75" s="52" t="s">
        <v>1061</v>
      </c>
      <c r="C75" s="52" t="s">
        <v>626</v>
      </c>
      <c r="D75" s="50"/>
      <c r="E75" s="56">
        <f>F75 + G75 + H75</f>
        <v>0</v>
      </c>
      <c r="F75" s="57">
        <f>D75 * 0.1080757941</f>
        <v>0</v>
      </c>
      <c r="G75" s="57">
        <f>D75 * 0.0014393907</f>
        <v>0</v>
      </c>
      <c r="H75" s="57">
        <f>D75 * 0.0033024983</f>
        <v>0</v>
      </c>
      <c r="P75" s="64" t="s">
        <v>1104</v>
      </c>
    </row>
    <row r="76" spans="1:16" x14ac:dyDescent="0.25">
      <c r="A76" s="95"/>
      <c r="B76" s="52" t="s">
        <v>1063</v>
      </c>
      <c r="C76" s="52" t="s">
        <v>626</v>
      </c>
      <c r="D76" s="50"/>
      <c r="E76" s="56">
        <f>F76 + G76 + H76</f>
        <v>0</v>
      </c>
      <c r="F76" s="57">
        <f>D76 * 0.1143234888</f>
        <v>0</v>
      </c>
      <c r="G76" s="57">
        <f>D76 * 0.0015225997</f>
        <v>0</v>
      </c>
      <c r="H76" s="57">
        <f>D76 * 0.0034934106</f>
        <v>0</v>
      </c>
      <c r="P76" s="64" t="s">
        <v>1105</v>
      </c>
    </row>
    <row r="77" spans="1:16" x14ac:dyDescent="0.25">
      <c r="A77" s="95"/>
      <c r="B77" s="52" t="s">
        <v>634</v>
      </c>
      <c r="C77" s="52" t="s">
        <v>626</v>
      </c>
      <c r="D77" s="50"/>
      <c r="E77" s="56">
        <f>F77 + G77 + H77</f>
        <v>0</v>
      </c>
      <c r="F77" s="57">
        <f>D77 * 0.1305488453</f>
        <v>0</v>
      </c>
      <c r="G77" s="57">
        <f>D77 * 0.0017386946</f>
        <v>0</v>
      </c>
      <c r="H77" s="57">
        <f>D77 * 0.0039892127</f>
        <v>0</v>
      </c>
      <c r="P77" s="64" t="s">
        <v>1106</v>
      </c>
    </row>
    <row r="78" spans="1:16" x14ac:dyDescent="0.25">
      <c r="A78" s="95"/>
      <c r="B78" s="94" t="s">
        <v>687</v>
      </c>
      <c r="C78" s="94"/>
      <c r="D78" s="94"/>
      <c r="E78" s="94"/>
      <c r="F78" s="94"/>
      <c r="G78" s="94"/>
      <c r="H78" s="94"/>
    </row>
    <row r="79" spans="1:16" x14ac:dyDescent="0.25">
      <c r="A79" s="95"/>
      <c r="B79" s="52" t="s">
        <v>625</v>
      </c>
      <c r="C79" s="52" t="s">
        <v>626</v>
      </c>
      <c r="D79" s="50"/>
      <c r="E79" s="56">
        <f>F79 + G79 + H79</f>
        <v>0</v>
      </c>
      <c r="F79" s="57">
        <f>D79 * 0.0076002978</f>
        <v>0</v>
      </c>
      <c r="G79" s="57">
        <f>D79 * 0.0002812695</f>
        <v>0</v>
      </c>
      <c r="H79" s="57">
        <f>D79 * 0.0000082281</f>
        <v>0</v>
      </c>
      <c r="P79" s="64" t="s">
        <v>1107</v>
      </c>
    </row>
    <row r="80" spans="1:16" x14ac:dyDescent="0.25">
      <c r="A80" s="95"/>
      <c r="B80" s="52" t="s">
        <v>1059</v>
      </c>
      <c r="C80" s="52" t="s">
        <v>626</v>
      </c>
      <c r="D80" s="50"/>
      <c r="E80" s="56">
        <f>F80 + G80 + H80</f>
        <v>0</v>
      </c>
      <c r="F80" s="57">
        <f>D80 * 0.0081608198</f>
        <v>0</v>
      </c>
      <c r="G80" s="57">
        <f>D80 * 0.0003020131</f>
        <v>0</v>
      </c>
      <c r="H80" s="57">
        <f>D80 * 0.0000088349</f>
        <v>0</v>
      </c>
      <c r="P80" s="64" t="s">
        <v>1108</v>
      </c>
    </row>
    <row r="81" spans="1:16" x14ac:dyDescent="0.25">
      <c r="A81" s="95"/>
      <c r="B81" s="52" t="s">
        <v>1061</v>
      </c>
      <c r="C81" s="52" t="s">
        <v>626</v>
      </c>
      <c r="D81" s="50"/>
      <c r="E81" s="56">
        <f>F81 + G81 + H81</f>
        <v>0</v>
      </c>
      <c r="F81" s="57">
        <f>D81 * 0.0092330077</f>
        <v>0</v>
      </c>
      <c r="G81" s="57">
        <f>D81 * 0.0003416923</f>
        <v>0</v>
      </c>
      <c r="H81" s="57">
        <f>D81 * 0.0000099957</f>
        <v>0</v>
      </c>
      <c r="P81" s="64" t="s">
        <v>1109</v>
      </c>
    </row>
    <row r="82" spans="1:16" x14ac:dyDescent="0.25">
      <c r="A82" s="95"/>
      <c r="B82" s="52" t="s">
        <v>1063</v>
      </c>
      <c r="C82" s="52" t="s">
        <v>626</v>
      </c>
      <c r="D82" s="50"/>
      <c r="E82" s="56">
        <f>F82 + G82 + H82</f>
        <v>0</v>
      </c>
      <c r="F82" s="57">
        <f>D82 * 0.0113716486</f>
        <v>0</v>
      </c>
      <c r="G82" s="57">
        <f>D82 * 0.0004208385</f>
        <v>0</v>
      </c>
      <c r="H82" s="57">
        <f>D82 * 0.000012311</f>
        <v>0</v>
      </c>
      <c r="P82" s="64" t="s">
        <v>1110</v>
      </c>
    </row>
    <row r="83" spans="1:16" x14ac:dyDescent="0.25">
      <c r="A83" s="95"/>
      <c r="B83" s="52" t="s">
        <v>634</v>
      </c>
      <c r="C83" s="52" t="s">
        <v>626</v>
      </c>
      <c r="D83" s="50"/>
      <c r="E83" s="56">
        <f>F83 + G83 + H83</f>
        <v>0</v>
      </c>
      <c r="F83" s="57">
        <f>D83 * 0.0132927568</f>
        <v>0</v>
      </c>
      <c r="G83" s="57">
        <f>D83 * 0.0004919343</f>
        <v>0</v>
      </c>
      <c r="H83" s="57">
        <f>D83 * 0.0000143908</f>
        <v>0</v>
      </c>
      <c r="P83" s="64" t="s">
        <v>1111</v>
      </c>
    </row>
    <row r="84" spans="1:16" x14ac:dyDescent="0.25">
      <c r="A84" s="95"/>
      <c r="B84" s="94" t="s">
        <v>693</v>
      </c>
      <c r="C84" s="94"/>
      <c r="D84" s="94"/>
      <c r="E84" s="94"/>
      <c r="F84" s="94"/>
      <c r="G84" s="94"/>
      <c r="H84" s="94"/>
    </row>
    <row r="85" spans="1:16" x14ac:dyDescent="0.25">
      <c r="A85" s="95"/>
      <c r="B85" s="52" t="s">
        <v>625</v>
      </c>
      <c r="C85" s="52" t="s">
        <v>626</v>
      </c>
      <c r="D85" s="50"/>
      <c r="E85" s="56">
        <f>F85 + G85 + H85</f>
        <v>0</v>
      </c>
      <c r="F85" s="57">
        <f>D85 * 0.0909909459</f>
        <v>0</v>
      </c>
      <c r="G85" s="57">
        <f>D85 * 0.0001364696</f>
        <v>0</v>
      </c>
      <c r="H85" s="57">
        <f>D85 * 0.0012915877</f>
        <v>0</v>
      </c>
      <c r="P85" s="64" t="s">
        <v>1112</v>
      </c>
    </row>
    <row r="86" spans="1:16" x14ac:dyDescent="0.25">
      <c r="A86" s="95"/>
      <c r="B86" s="52" t="s">
        <v>1059</v>
      </c>
      <c r="C86" s="52" t="s">
        <v>626</v>
      </c>
      <c r="D86" s="50"/>
      <c r="E86" s="56">
        <f>F86 + G86 + H86</f>
        <v>0</v>
      </c>
      <c r="F86" s="57">
        <f>D86 * 0.0875618421</f>
        <v>0</v>
      </c>
      <c r="G86" s="57">
        <f>D86 * 0.0001313266</f>
        <v>0</v>
      </c>
      <c r="H86" s="57">
        <f>D86 * 0.0012429127</f>
        <v>0</v>
      </c>
      <c r="P86" s="64" t="s">
        <v>1113</v>
      </c>
    </row>
    <row r="87" spans="1:16" x14ac:dyDescent="0.25">
      <c r="A87" s="95"/>
      <c r="B87" s="52" t="s">
        <v>1061</v>
      </c>
      <c r="C87" s="52" t="s">
        <v>626</v>
      </c>
      <c r="D87" s="50"/>
      <c r="E87" s="56">
        <f>F87 + G87 + H87</f>
        <v>0</v>
      </c>
      <c r="F87" s="57">
        <f>D87 * 0.1165639758</f>
        <v>0</v>
      </c>
      <c r="G87" s="57">
        <f>D87 * 0.0001748245</f>
        <v>0</v>
      </c>
      <c r="H87" s="57">
        <f>D87 * 0.0016545888</f>
        <v>0</v>
      </c>
      <c r="P87" s="64" t="s">
        <v>1114</v>
      </c>
    </row>
    <row r="88" spans="1:16" x14ac:dyDescent="0.25">
      <c r="A88" s="95"/>
      <c r="B88" s="52" t="s">
        <v>1063</v>
      </c>
      <c r="C88" s="52" t="s">
        <v>626</v>
      </c>
      <c r="D88" s="50"/>
      <c r="E88" s="56">
        <f>F88 + G88 + H88</f>
        <v>0</v>
      </c>
      <c r="F88" s="57">
        <f>D88 * 0.1249865267</f>
        <v>0</v>
      </c>
      <c r="G88" s="57">
        <f>D88 * 0.0001874567</f>
        <v>0</v>
      </c>
      <c r="H88" s="57">
        <f>D88 * 0.0017741442</f>
        <v>0</v>
      </c>
      <c r="P88" s="64" t="s">
        <v>1115</v>
      </c>
    </row>
    <row r="89" spans="1:16" x14ac:dyDescent="0.25">
      <c r="A89" s="95"/>
      <c r="B89" s="52" t="s">
        <v>634</v>
      </c>
      <c r="C89" s="52" t="s">
        <v>626</v>
      </c>
      <c r="D89" s="50"/>
      <c r="E89" s="56">
        <f>F89 + G89 + H89</f>
        <v>0</v>
      </c>
      <c r="F89" s="57">
        <f>D89 * 0.1265594571</f>
        <v>0</v>
      </c>
      <c r="G89" s="57">
        <f>D89 * 0.0001898159</f>
        <v>0</v>
      </c>
      <c r="H89" s="57">
        <f>D89 * 0.0017964715</f>
        <v>0</v>
      </c>
      <c r="P89" s="64" t="s">
        <v>1116</v>
      </c>
    </row>
    <row r="90" spans="1:16" x14ac:dyDescent="0.25">
      <c r="A90" s="95"/>
      <c r="B90" s="94" t="s">
        <v>699</v>
      </c>
      <c r="C90" s="94"/>
      <c r="D90" s="94"/>
      <c r="E90" s="94"/>
      <c r="F90" s="94"/>
      <c r="G90" s="94"/>
      <c r="H90" s="94"/>
    </row>
    <row r="91" spans="1:16" x14ac:dyDescent="0.25">
      <c r="A91" s="95"/>
      <c r="B91" s="52" t="s">
        <v>625</v>
      </c>
      <c r="C91" s="52" t="s">
        <v>626</v>
      </c>
      <c r="D91" s="50"/>
      <c r="E91" s="56">
        <f>F91 + G91 + H91</f>
        <v>0</v>
      </c>
      <c r="F91" s="57">
        <f>D91 * 0.0077092671</f>
        <v>0</v>
      </c>
      <c r="G91" s="57">
        <f>D91 * 0.0002853022</f>
        <v>0</v>
      </c>
      <c r="H91" s="57">
        <f>D91 * 0.0000083461</f>
        <v>0</v>
      </c>
      <c r="P91" s="64" t="s">
        <v>1117</v>
      </c>
    </row>
    <row r="92" spans="1:16" x14ac:dyDescent="0.25">
      <c r="A92" s="95"/>
      <c r="B92" s="52" t="s">
        <v>1059</v>
      </c>
      <c r="C92" s="52" t="s">
        <v>626</v>
      </c>
      <c r="D92" s="50"/>
      <c r="E92" s="56">
        <f>F92 + G92 + H92</f>
        <v>0</v>
      </c>
      <c r="F92" s="57">
        <f>D92 * 0.0074044951</f>
        <v>0</v>
      </c>
      <c r="G92" s="57">
        <f>D92 * 0.0002740233</f>
        <v>0</v>
      </c>
      <c r="H92" s="57">
        <f>D92 * 0.0000080161</f>
        <v>0</v>
      </c>
      <c r="P92" s="64" t="s">
        <v>1118</v>
      </c>
    </row>
    <row r="93" spans="1:16" x14ac:dyDescent="0.25">
      <c r="A93" s="95"/>
      <c r="B93" s="52" t="s">
        <v>1061</v>
      </c>
      <c r="C93" s="52" t="s">
        <v>626</v>
      </c>
      <c r="D93" s="50"/>
      <c r="E93" s="56">
        <f>F93 + G93 + H93</f>
        <v>0</v>
      </c>
      <c r="F93" s="57">
        <f>D93 * 0.0081130329</f>
        <v>0</v>
      </c>
      <c r="G93" s="57">
        <f>D93 * 0.0003002447</f>
        <v>0</v>
      </c>
      <c r="H93" s="57">
        <f>D93 * 0.0000087832</f>
        <v>0</v>
      </c>
      <c r="P93" s="64" t="s">
        <v>1119</v>
      </c>
    </row>
    <row r="94" spans="1:16" x14ac:dyDescent="0.25">
      <c r="A94" s="95"/>
      <c r="B94" s="52" t="s">
        <v>1063</v>
      </c>
      <c r="C94" s="52" t="s">
        <v>626</v>
      </c>
      <c r="D94" s="50"/>
      <c r="E94" s="56">
        <f>F94 + G94 + H94</f>
        <v>0</v>
      </c>
      <c r="F94" s="57">
        <f>D94 * 0.0091827748</f>
        <v>0</v>
      </c>
      <c r="G94" s="57">
        <f>D94 * 0.0003398333</f>
        <v>0</v>
      </c>
      <c r="H94" s="57">
        <f>D94 * 0.0000099413</f>
        <v>0</v>
      </c>
      <c r="P94" s="64" t="s">
        <v>1120</v>
      </c>
    </row>
    <row r="95" spans="1:16" x14ac:dyDescent="0.25">
      <c r="A95" s="95"/>
      <c r="B95" s="52" t="s">
        <v>634</v>
      </c>
      <c r="C95" s="52" t="s">
        <v>626</v>
      </c>
      <c r="D95" s="50"/>
      <c r="E95" s="56">
        <f>F95 + G95 + H95</f>
        <v>0</v>
      </c>
      <c r="F95" s="57">
        <f>D95 * 0.0108608256</f>
        <v>0</v>
      </c>
      <c r="G95" s="57">
        <f>D95 * 0.0004019341</f>
        <v>0</v>
      </c>
      <c r="H95" s="57">
        <f>D95 * 0.000011758</f>
        <v>0</v>
      </c>
      <c r="P95" s="64" t="s">
        <v>1121</v>
      </c>
    </row>
    <row r="96" spans="1:16" x14ac:dyDescent="0.25">
      <c r="A96" s="95"/>
      <c r="B96" s="94" t="s">
        <v>705</v>
      </c>
      <c r="C96" s="94"/>
      <c r="D96" s="94"/>
      <c r="E96" s="94"/>
      <c r="F96" s="94"/>
      <c r="G96" s="94"/>
      <c r="H96" s="94"/>
    </row>
    <row r="97" spans="1:16" x14ac:dyDescent="0.25">
      <c r="A97" s="95"/>
      <c r="B97" s="52" t="s">
        <v>625</v>
      </c>
      <c r="C97" s="52" t="s">
        <v>626</v>
      </c>
      <c r="D97" s="50"/>
      <c r="E97" s="56">
        <f>F97 + G97 + H97</f>
        <v>0</v>
      </c>
      <c r="F97" s="57">
        <f>D97 * 0.0159446807</f>
        <v>0</v>
      </c>
      <c r="G97" s="57">
        <f>D97 * 0.0005900759</f>
        <v>0</v>
      </c>
      <c r="H97" s="57">
        <f>D97 * 0.0000172617</f>
        <v>0</v>
      </c>
      <c r="P97" s="64" t="s">
        <v>1122</v>
      </c>
    </row>
    <row r="98" spans="1:16" x14ac:dyDescent="0.25">
      <c r="A98" s="95"/>
      <c r="B98" s="52" t="s">
        <v>1059</v>
      </c>
      <c r="C98" s="52" t="s">
        <v>626</v>
      </c>
      <c r="D98" s="50"/>
      <c r="E98" s="56">
        <f>F98 + G98 + H98</f>
        <v>0</v>
      </c>
      <c r="F98" s="57">
        <f>D98 * 0.0171206009</f>
        <v>0</v>
      </c>
      <c r="G98" s="57">
        <f>D98 * 0.000633594</f>
        <v>0</v>
      </c>
      <c r="H98" s="57">
        <f>D98 * 0.0000185348</f>
        <v>0</v>
      </c>
      <c r="P98" s="64" t="s">
        <v>1123</v>
      </c>
    </row>
    <row r="99" spans="1:16" x14ac:dyDescent="0.25">
      <c r="A99" s="95"/>
      <c r="B99" s="52" t="s">
        <v>1061</v>
      </c>
      <c r="C99" s="52" t="s">
        <v>626</v>
      </c>
      <c r="D99" s="50"/>
      <c r="E99" s="56">
        <f>F99 + G99 + H99</f>
        <v>0</v>
      </c>
      <c r="F99" s="57">
        <f>D99 * 0.0193699461</f>
        <v>0</v>
      </c>
      <c r="G99" s="57">
        <f>D99 * 0.0007168371</f>
        <v>0</v>
      </c>
      <c r="H99" s="57">
        <f>D99 * 0.0000209699</f>
        <v>0</v>
      </c>
      <c r="P99" s="64" t="s">
        <v>1124</v>
      </c>
    </row>
    <row r="100" spans="1:16" x14ac:dyDescent="0.25">
      <c r="A100" s="95"/>
      <c r="B100" s="52" t="s">
        <v>1063</v>
      </c>
      <c r="C100" s="52" t="s">
        <v>626</v>
      </c>
      <c r="D100" s="50"/>
      <c r="E100" s="56">
        <f>F100 + G100 + H100</f>
        <v>0</v>
      </c>
      <c r="F100" s="57">
        <f>D100 * 0.0238566054</f>
        <v>0</v>
      </c>
      <c r="G100" s="57">
        <f>D100 * 0.000882878</f>
        <v>0</v>
      </c>
      <c r="H100" s="57">
        <f>D100 * 0.0000258272</f>
        <v>0</v>
      </c>
      <c r="P100" s="64" t="s">
        <v>1125</v>
      </c>
    </row>
    <row r="101" spans="1:16" x14ac:dyDescent="0.25">
      <c r="A101" s="95"/>
      <c r="B101" s="52" t="s">
        <v>634</v>
      </c>
      <c r="C101" s="52" t="s">
        <v>626</v>
      </c>
      <c r="D101" s="50"/>
      <c r="E101" s="56">
        <f>F101 + G101 + H101</f>
        <v>0</v>
      </c>
      <c r="F101" s="57">
        <f>D101 * 0.0278869025</f>
        <v>0</v>
      </c>
      <c r="G101" s="57">
        <f>D101 * 0.00103203</f>
        <v>0</v>
      </c>
      <c r="H101" s="57">
        <f>D101 * 0.0000301904</f>
        <v>0</v>
      </c>
      <c r="P101" s="64" t="s">
        <v>1126</v>
      </c>
    </row>
    <row r="102" spans="1:16" x14ac:dyDescent="0.25">
      <c r="D102" s="65" t="s">
        <v>116</v>
      </c>
      <c r="E102" s="56">
        <f>SUM(E48:E101)</f>
        <v>0</v>
      </c>
      <c r="F102" s="57">
        <f>SUM(F48:F101)</f>
        <v>0</v>
      </c>
      <c r="G102" s="57">
        <f>SUM(G48:G101)</f>
        <v>0</v>
      </c>
      <c r="H102" s="57">
        <f>SUM(H48:H101)</f>
        <v>0</v>
      </c>
    </row>
    <row r="104" spans="1:16" x14ac:dyDescent="0.25">
      <c r="A104" s="92" t="s">
        <v>1057</v>
      </c>
      <c r="B104" s="92"/>
      <c r="C104" s="92"/>
      <c r="D104" s="92"/>
      <c r="E104" s="92"/>
      <c r="F104" s="92"/>
      <c r="G104" s="92"/>
      <c r="H104" s="92"/>
    </row>
    <row r="105" spans="1:16" x14ac:dyDescent="0.25">
      <c r="A105" s="93" t="s">
        <v>717</v>
      </c>
      <c r="B105" s="93"/>
      <c r="C105" s="59" t="s">
        <v>61</v>
      </c>
      <c r="D105" s="60" t="s">
        <v>62</v>
      </c>
      <c r="E105" s="58" t="s">
        <v>63</v>
      </c>
      <c r="F105" s="58" t="s">
        <v>64</v>
      </c>
      <c r="G105" s="58" t="s">
        <v>65</v>
      </c>
      <c r="H105" s="58" t="s">
        <v>66</v>
      </c>
      <c r="P105" s="61" t="s">
        <v>68</v>
      </c>
    </row>
    <row r="106" spans="1:16" x14ac:dyDescent="0.25">
      <c r="A106" s="95" t="s">
        <v>60</v>
      </c>
      <c r="B106" s="94" t="s">
        <v>819</v>
      </c>
      <c r="C106" s="94"/>
      <c r="D106" s="94"/>
      <c r="E106" s="94"/>
      <c r="F106" s="94"/>
      <c r="G106" s="94"/>
      <c r="H106" s="94"/>
    </row>
    <row r="107" spans="1:16" x14ac:dyDescent="0.25">
      <c r="A107" s="95"/>
      <c r="B107" s="52" t="s">
        <v>625</v>
      </c>
      <c r="C107" s="52" t="s">
        <v>626</v>
      </c>
      <c r="D107" s="50"/>
      <c r="E107" s="56">
        <f>F107 + G107 + H107</f>
        <v>0</v>
      </c>
      <c r="F107" s="57">
        <f>D107 * 0.1709873181</f>
        <v>0</v>
      </c>
      <c r="G107" s="57">
        <f>D107 * 0.0022772682</f>
        <v>0</v>
      </c>
      <c r="H107" s="57">
        <f>D107 * 0.005224901</f>
        <v>0</v>
      </c>
      <c r="P107" s="64" t="s">
        <v>1127</v>
      </c>
    </row>
    <row r="108" spans="1:16" x14ac:dyDescent="0.25">
      <c r="A108" s="95"/>
      <c r="B108" s="52" t="s">
        <v>1059</v>
      </c>
      <c r="C108" s="52" t="s">
        <v>626</v>
      </c>
      <c r="D108" s="50"/>
      <c r="E108" s="56">
        <f>F108 + G108 + H108</f>
        <v>0</v>
      </c>
      <c r="F108" s="57">
        <f>D108 * 0.1835976328</f>
        <v>0</v>
      </c>
      <c r="G108" s="57">
        <f>D108 * 0.0024452167</f>
        <v>0</v>
      </c>
      <c r="H108" s="57">
        <f>D108 * 0.0056102374</f>
        <v>0</v>
      </c>
      <c r="P108" s="64" t="s">
        <v>1128</v>
      </c>
    </row>
    <row r="109" spans="1:16" x14ac:dyDescent="0.25">
      <c r="A109" s="95"/>
      <c r="B109" s="52" t="s">
        <v>1061</v>
      </c>
      <c r="C109" s="52" t="s">
        <v>626</v>
      </c>
      <c r="D109" s="50"/>
      <c r="E109" s="56">
        <f>F109 + G109 + H109</f>
        <v>0</v>
      </c>
      <c r="F109" s="57">
        <f>D109 * 0.247717877</f>
        <v>0</v>
      </c>
      <c r="G109" s="57">
        <f>D109 * 0.0032991922</f>
        <v>0</v>
      </c>
      <c r="H109" s="57">
        <f>D109 * 0.0075695753</f>
        <v>0</v>
      </c>
      <c r="P109" s="64" t="s">
        <v>1129</v>
      </c>
    </row>
    <row r="110" spans="1:16" x14ac:dyDescent="0.25">
      <c r="A110" s="95"/>
      <c r="B110" s="52" t="s">
        <v>1063</v>
      </c>
      <c r="C110" s="52" t="s">
        <v>626</v>
      </c>
      <c r="D110" s="50"/>
      <c r="E110" s="56">
        <f>F110 + G110 + H110</f>
        <v>0</v>
      </c>
      <c r="F110" s="57">
        <f>D110 * 0.2620380649</f>
        <v>0</v>
      </c>
      <c r="G110" s="57">
        <f>D110 * 0.0034899134</f>
        <v>0</v>
      </c>
      <c r="H110" s="57">
        <f>D110 * 0.0080071607</f>
        <v>0</v>
      </c>
      <c r="P110" s="64" t="s">
        <v>1130</v>
      </c>
    </row>
    <row r="111" spans="1:16" x14ac:dyDescent="0.25">
      <c r="A111" s="95"/>
      <c r="B111" s="52" t="s">
        <v>634</v>
      </c>
      <c r="C111" s="52" t="s">
        <v>626</v>
      </c>
      <c r="D111" s="50"/>
      <c r="E111" s="56">
        <f>F111 + G111 + H111</f>
        <v>0</v>
      </c>
      <c r="F111" s="57">
        <f>D111 * 0.2992278066</f>
        <v>0</v>
      </c>
      <c r="G111" s="57">
        <f>D111 * 0.0039852193</f>
        <v>0</v>
      </c>
      <c r="H111" s="57">
        <f>D111 * 0.0091435767</f>
        <v>0</v>
      </c>
      <c r="P111" s="64" t="s">
        <v>1131</v>
      </c>
    </row>
    <row r="112" spans="1:16" x14ac:dyDescent="0.25">
      <c r="A112" s="95"/>
      <c r="B112" s="94" t="s">
        <v>89</v>
      </c>
      <c r="C112" s="94"/>
      <c r="D112" s="94"/>
      <c r="E112" s="94"/>
      <c r="F112" s="94"/>
      <c r="G112" s="94"/>
      <c r="H112" s="94"/>
    </row>
    <row r="113" spans="1:16" x14ac:dyDescent="0.25">
      <c r="A113" s="95"/>
      <c r="B113" s="52" t="s">
        <v>625</v>
      </c>
      <c r="C113" s="52" t="s">
        <v>626</v>
      </c>
      <c r="D113" s="50"/>
      <c r="E113" s="56">
        <f>F113 + G113 + H113</f>
        <v>0</v>
      </c>
      <c r="F113" s="57">
        <f>D113 * 0.183556158</f>
        <v>0</v>
      </c>
      <c r="G113" s="57">
        <f>D113 * 0.0002753004</f>
        <v>0</v>
      </c>
      <c r="H113" s="57">
        <f>D113 * 0.0026055216</f>
        <v>0</v>
      </c>
      <c r="P113" s="64" t="s">
        <v>1132</v>
      </c>
    </row>
    <row r="114" spans="1:16" x14ac:dyDescent="0.25">
      <c r="A114" s="95"/>
      <c r="B114" s="52" t="s">
        <v>1059</v>
      </c>
      <c r="C114" s="52" t="s">
        <v>626</v>
      </c>
      <c r="D114" s="50"/>
      <c r="E114" s="56">
        <f>F114 + G114 + H114</f>
        <v>0</v>
      </c>
      <c r="F114" s="57">
        <f>D114 * 0.1766386223</f>
        <v>0</v>
      </c>
      <c r="G114" s="57">
        <f>D114 * 0.0002649254</f>
        <v>0</v>
      </c>
      <c r="H114" s="57">
        <f>D114 * 0.0025073294</f>
        <v>0</v>
      </c>
      <c r="P114" s="64" t="s">
        <v>1133</v>
      </c>
    </row>
    <row r="115" spans="1:16" x14ac:dyDescent="0.25">
      <c r="A115" s="95"/>
      <c r="B115" s="52" t="s">
        <v>1061</v>
      </c>
      <c r="C115" s="52" t="s">
        <v>626</v>
      </c>
      <c r="D115" s="50"/>
      <c r="E115" s="56">
        <f>F115 + G115 + H115</f>
        <v>0</v>
      </c>
      <c r="F115" s="57">
        <f>D115 * 0.2351446658</f>
        <v>0</v>
      </c>
      <c r="G115" s="57">
        <f>D115 * 0.0003526736</f>
        <v>0</v>
      </c>
      <c r="H115" s="57">
        <f>D115 * 0.0033378042</f>
        <v>0</v>
      </c>
      <c r="P115" s="64" t="s">
        <v>1134</v>
      </c>
    </row>
    <row r="116" spans="1:16" x14ac:dyDescent="0.25">
      <c r="A116" s="95"/>
      <c r="B116" s="52" t="s">
        <v>1063</v>
      </c>
      <c r="C116" s="52" t="s">
        <v>626</v>
      </c>
      <c r="D116" s="50"/>
      <c r="E116" s="56">
        <f>F116 + G116 + H116</f>
        <v>0</v>
      </c>
      <c r="F116" s="57">
        <f>D116 * 0.2521354891</f>
        <v>0</v>
      </c>
      <c r="G116" s="57">
        <f>D116 * 0.0003781568</f>
        <v>0</v>
      </c>
      <c r="H116" s="57">
        <f>D116 * 0.0035789835</f>
        <v>0</v>
      </c>
      <c r="P116" s="64" t="s">
        <v>1135</v>
      </c>
    </row>
    <row r="117" spans="1:16" x14ac:dyDescent="0.25">
      <c r="A117" s="95"/>
      <c r="B117" s="52" t="s">
        <v>634</v>
      </c>
      <c r="C117" s="52" t="s">
        <v>626</v>
      </c>
      <c r="D117" s="50"/>
      <c r="E117" s="56">
        <f>F117 + G117 + H117</f>
        <v>0</v>
      </c>
      <c r="F117" s="57">
        <f>D117 * 0.2553085638</f>
        <v>0</v>
      </c>
      <c r="G117" s="57">
        <f>D117 * 0.0003829158</f>
        <v>0</v>
      </c>
      <c r="H117" s="57">
        <f>D117 * 0.0036240243</f>
        <v>0</v>
      </c>
      <c r="P117" s="64" t="s">
        <v>1136</v>
      </c>
    </row>
    <row r="118" spans="1:16" x14ac:dyDescent="0.25">
      <c r="A118" s="95"/>
      <c r="B118" s="94" t="s">
        <v>822</v>
      </c>
      <c r="C118" s="94"/>
      <c r="D118" s="94"/>
      <c r="E118" s="94"/>
      <c r="F118" s="94"/>
      <c r="G118" s="94"/>
      <c r="H118" s="94"/>
    </row>
    <row r="119" spans="1:16" x14ac:dyDescent="0.25">
      <c r="A119" s="95"/>
      <c r="B119" s="52" t="s">
        <v>625</v>
      </c>
      <c r="C119" s="52" t="s">
        <v>626</v>
      </c>
      <c r="D119" s="50"/>
      <c r="E119" s="56">
        <f>F119 + G119 + H119</f>
        <v>0</v>
      </c>
      <c r="F119" s="57">
        <f>D119 * 0.1349899879</f>
        <v>0</v>
      </c>
      <c r="G119" s="57">
        <f>D119 * 0.0017978433</f>
        <v>0</v>
      </c>
      <c r="H119" s="57">
        <f>D119 * 0.0041249218</f>
        <v>0</v>
      </c>
      <c r="P119" s="64" t="s">
        <v>1137</v>
      </c>
    </row>
    <row r="120" spans="1:16" x14ac:dyDescent="0.25">
      <c r="A120" s="95"/>
      <c r="B120" s="52" t="s">
        <v>1059</v>
      </c>
      <c r="C120" s="52" t="s">
        <v>626</v>
      </c>
      <c r="D120" s="50"/>
      <c r="E120" s="56">
        <f>F120 + G120 + H120</f>
        <v>0</v>
      </c>
      <c r="F120" s="57">
        <f>D120 * 0.1449454996</f>
        <v>0</v>
      </c>
      <c r="G120" s="57">
        <f>D120 * 0.0019304342</f>
        <v>0</v>
      </c>
      <c r="H120" s="57">
        <f>D120 * 0.0044291348</f>
        <v>0</v>
      </c>
      <c r="P120" s="64" t="s">
        <v>1138</v>
      </c>
    </row>
    <row r="121" spans="1:16" x14ac:dyDescent="0.25">
      <c r="A121" s="95"/>
      <c r="B121" s="52" t="s">
        <v>1061</v>
      </c>
      <c r="C121" s="52" t="s">
        <v>626</v>
      </c>
      <c r="D121" s="50"/>
      <c r="E121" s="56">
        <f>F121 + G121 + H121</f>
        <v>0</v>
      </c>
      <c r="F121" s="57">
        <f>D121 * 0.195566745</f>
        <v>0</v>
      </c>
      <c r="G121" s="57">
        <f>D121 * 0.0026046255</f>
        <v>0</v>
      </c>
      <c r="H121" s="57">
        <f>D121 * 0.0059759805</f>
        <v>0</v>
      </c>
      <c r="P121" s="64" t="s">
        <v>1139</v>
      </c>
    </row>
    <row r="122" spans="1:16" x14ac:dyDescent="0.25">
      <c r="A122" s="95"/>
      <c r="B122" s="52" t="s">
        <v>1063</v>
      </c>
      <c r="C122" s="52" t="s">
        <v>626</v>
      </c>
      <c r="D122" s="50"/>
      <c r="E122" s="56">
        <f>F122 + G122 + H122</f>
        <v>0</v>
      </c>
      <c r="F122" s="57">
        <f>D122 * 0.2068721565</f>
        <v>0</v>
      </c>
      <c r="G122" s="57">
        <f>D122 * 0.0027551948</f>
        <v>0</v>
      </c>
      <c r="H122" s="57">
        <f>D122 * 0.0063214427</f>
        <v>0</v>
      </c>
      <c r="P122" s="64" t="s">
        <v>1140</v>
      </c>
    </row>
    <row r="123" spans="1:16" x14ac:dyDescent="0.25">
      <c r="A123" s="95"/>
      <c r="B123" s="52" t="s">
        <v>634</v>
      </c>
      <c r="C123" s="52" t="s">
        <v>626</v>
      </c>
      <c r="D123" s="50"/>
      <c r="E123" s="56">
        <f>F123 + G123 + H123</f>
        <v>0</v>
      </c>
      <c r="F123" s="57">
        <f>D123 * 0.2362324789</f>
        <v>0</v>
      </c>
      <c r="G123" s="57">
        <f>D123 * 0.0031462257</f>
        <v>0</v>
      </c>
      <c r="H123" s="57">
        <f>D123 * 0.0072186132</f>
        <v>0</v>
      </c>
      <c r="P123" s="64" t="s">
        <v>1141</v>
      </c>
    </row>
    <row r="124" spans="1:16" x14ac:dyDescent="0.25">
      <c r="A124" s="95"/>
      <c r="B124" s="94" t="s">
        <v>824</v>
      </c>
      <c r="C124" s="94"/>
      <c r="D124" s="94"/>
      <c r="E124" s="94"/>
      <c r="F124" s="94"/>
      <c r="G124" s="94"/>
      <c r="H124" s="94"/>
    </row>
    <row r="125" spans="1:16" x14ac:dyDescent="0.25">
      <c r="A125" s="95"/>
      <c r="B125" s="52" t="s">
        <v>625</v>
      </c>
      <c r="C125" s="52" t="s">
        <v>626</v>
      </c>
      <c r="D125" s="50"/>
      <c r="E125" s="56">
        <f>F125 + G125 + H125</f>
        <v>0</v>
      </c>
      <c r="F125" s="57">
        <f>D125 * 0.1651373017</f>
        <v>0</v>
      </c>
      <c r="G125" s="57">
        <f>D125 * 0.0002476755</f>
        <v>0</v>
      </c>
      <c r="H125" s="57">
        <f>D125 * 0.0023440718</f>
        <v>0</v>
      </c>
      <c r="P125" s="64" t="s">
        <v>1142</v>
      </c>
    </row>
    <row r="126" spans="1:16" x14ac:dyDescent="0.25">
      <c r="A126" s="95"/>
      <c r="B126" s="52" t="s">
        <v>1059</v>
      </c>
      <c r="C126" s="52" t="s">
        <v>626</v>
      </c>
      <c r="D126" s="50"/>
      <c r="E126" s="56">
        <f>F126 + G126 + H126</f>
        <v>0</v>
      </c>
      <c r="F126" s="57">
        <f>D126 * 0.1589139029</f>
        <v>0</v>
      </c>
      <c r="G126" s="57">
        <f>D126 * 0.0002383416</f>
        <v>0</v>
      </c>
      <c r="H126" s="57">
        <f>D126 * 0.0022557326</f>
        <v>0</v>
      </c>
      <c r="P126" s="64" t="s">
        <v>1143</v>
      </c>
    </row>
    <row r="127" spans="1:16" x14ac:dyDescent="0.25">
      <c r="A127" s="95"/>
      <c r="B127" s="52" t="s">
        <v>1061</v>
      </c>
      <c r="C127" s="52" t="s">
        <v>626</v>
      </c>
      <c r="D127" s="50"/>
      <c r="E127" s="56">
        <f>F127 + G127 + H127</f>
        <v>0</v>
      </c>
      <c r="F127" s="57">
        <f>D127 * 0.2115491849</f>
        <v>0</v>
      </c>
      <c r="G127" s="57">
        <f>D127 * 0.0003172848</f>
        <v>0</v>
      </c>
      <c r="H127" s="57">
        <f>D127 * 0.0030028738</f>
        <v>0</v>
      </c>
      <c r="P127" s="64" t="s">
        <v>1144</v>
      </c>
    </row>
    <row r="128" spans="1:16" x14ac:dyDescent="0.25">
      <c r="A128" s="95"/>
      <c r="B128" s="52" t="s">
        <v>1063</v>
      </c>
      <c r="C128" s="52" t="s">
        <v>626</v>
      </c>
      <c r="D128" s="50"/>
      <c r="E128" s="56">
        <f>F128 + G128 + H128</f>
        <v>0</v>
      </c>
      <c r="F128" s="57">
        <f>D128 * 0.2268350721</f>
        <v>0</v>
      </c>
      <c r="G128" s="57">
        <f>D128 * 0.0003402108</f>
        <v>0</v>
      </c>
      <c r="H128" s="57">
        <f>D128 * 0.0032198521</f>
        <v>0</v>
      </c>
      <c r="P128" s="64" t="s">
        <v>1145</v>
      </c>
    </row>
    <row r="129" spans="1:16" x14ac:dyDescent="0.25">
      <c r="A129" s="95"/>
      <c r="B129" s="52" t="s">
        <v>634</v>
      </c>
      <c r="C129" s="52" t="s">
        <v>626</v>
      </c>
      <c r="D129" s="50"/>
      <c r="E129" s="56">
        <f>F129 + G129 + H129</f>
        <v>0</v>
      </c>
      <c r="F129" s="57">
        <f>D129 * 0.2296897461</f>
        <v>0</v>
      </c>
      <c r="G129" s="57">
        <f>D129 * 0.0003444923</f>
        <v>0</v>
      </c>
      <c r="H129" s="57">
        <f>D129 * 0.0032603733</f>
        <v>0</v>
      </c>
      <c r="P129" s="64" t="s">
        <v>1146</v>
      </c>
    </row>
    <row r="130" spans="1:16" x14ac:dyDescent="0.25">
      <c r="A130" s="95"/>
      <c r="B130" s="94" t="s">
        <v>681</v>
      </c>
      <c r="C130" s="94"/>
      <c r="D130" s="94"/>
      <c r="E130" s="94"/>
      <c r="F130" s="94"/>
      <c r="G130" s="94"/>
      <c r="H130" s="94"/>
    </row>
    <row r="131" spans="1:16" x14ac:dyDescent="0.25">
      <c r="A131" s="95"/>
      <c r="B131" s="52" t="s">
        <v>625</v>
      </c>
      <c r="C131" s="52" t="s">
        <v>626</v>
      </c>
      <c r="D131" s="50"/>
      <c r="E131" s="56">
        <f>F131 + G131 + H131</f>
        <v>0</v>
      </c>
      <c r="F131" s="57">
        <f>D131 * 0.0706447604</f>
        <v>0</v>
      </c>
      <c r="G131" s="57">
        <f>D131 * 0.0009408713</f>
        <v>0</v>
      </c>
      <c r="H131" s="57">
        <f>D131 * 0.0021587091</f>
        <v>0</v>
      </c>
      <c r="P131" s="64" t="s">
        <v>1147</v>
      </c>
    </row>
    <row r="132" spans="1:16" x14ac:dyDescent="0.25">
      <c r="A132" s="95"/>
      <c r="B132" s="52" t="s">
        <v>1059</v>
      </c>
      <c r="C132" s="52" t="s">
        <v>626</v>
      </c>
      <c r="D132" s="50"/>
      <c r="E132" s="56">
        <f>F132 + G132 + H132</f>
        <v>0</v>
      </c>
      <c r="F132" s="57">
        <f>D132 * 0.0758548114</f>
        <v>0</v>
      </c>
      <c r="G132" s="57">
        <f>D132 * 0.0010102606</f>
        <v>0</v>
      </c>
      <c r="H132" s="57">
        <f>D132 * 0.0023179139</f>
        <v>0</v>
      </c>
      <c r="P132" s="64" t="s">
        <v>1148</v>
      </c>
    </row>
    <row r="133" spans="1:16" x14ac:dyDescent="0.25">
      <c r="A133" s="95"/>
      <c r="B133" s="52" t="s">
        <v>1061</v>
      </c>
      <c r="C133" s="52" t="s">
        <v>626</v>
      </c>
      <c r="D133" s="50"/>
      <c r="E133" s="56">
        <f>F133 + G133 + H133</f>
        <v>0</v>
      </c>
      <c r="F133" s="57">
        <f>D133 * 0.1023465966</f>
        <v>0</v>
      </c>
      <c r="G133" s="57">
        <f>D133 * 0.0013630873</f>
        <v>0</v>
      </c>
      <c r="H133" s="57">
        <f>D133 * 0.0031274298</f>
        <v>0</v>
      </c>
      <c r="P133" s="64" t="s">
        <v>1149</v>
      </c>
    </row>
    <row r="134" spans="1:16" x14ac:dyDescent="0.25">
      <c r="A134" s="95"/>
      <c r="B134" s="52" t="s">
        <v>1063</v>
      </c>
      <c r="C134" s="52" t="s">
        <v>626</v>
      </c>
      <c r="D134" s="50"/>
      <c r="E134" s="56">
        <f>F134 + G134 + H134</f>
        <v>0</v>
      </c>
      <c r="F134" s="57">
        <f>D134 * 0.1082630952</f>
        <v>0</v>
      </c>
      <c r="G134" s="57">
        <f>D134 * 0.0014418853</f>
        <v>0</v>
      </c>
      <c r="H134" s="57">
        <f>D134 * 0.0033082217</f>
        <v>0</v>
      </c>
      <c r="P134" s="64" t="s">
        <v>1150</v>
      </c>
    </row>
    <row r="135" spans="1:16" x14ac:dyDescent="0.25">
      <c r="A135" s="95"/>
      <c r="B135" s="52" t="s">
        <v>634</v>
      </c>
      <c r="C135" s="52" t="s">
        <v>626</v>
      </c>
      <c r="D135" s="50"/>
      <c r="E135" s="56">
        <f>F135 + G135 + H135</f>
        <v>0</v>
      </c>
      <c r="F135" s="57">
        <f>D135 * 0.1236283306</f>
        <v>0</v>
      </c>
      <c r="G135" s="57">
        <f>D135 * 0.0016465248</f>
        <v>0</v>
      </c>
      <c r="H135" s="57">
        <f>D135 * 0.0037777409</f>
        <v>0</v>
      </c>
      <c r="P135" s="64" t="s">
        <v>1151</v>
      </c>
    </row>
    <row r="136" spans="1:16" x14ac:dyDescent="0.25">
      <c r="A136" s="95"/>
      <c r="B136" s="94" t="s">
        <v>687</v>
      </c>
      <c r="C136" s="94"/>
      <c r="D136" s="94"/>
      <c r="E136" s="94"/>
      <c r="F136" s="94"/>
      <c r="G136" s="94"/>
      <c r="H136" s="94"/>
    </row>
    <row r="137" spans="1:16" x14ac:dyDescent="0.25">
      <c r="A137" s="95"/>
      <c r="B137" s="52" t="s">
        <v>625</v>
      </c>
      <c r="C137" s="52" t="s">
        <v>626</v>
      </c>
      <c r="D137" s="50"/>
      <c r="E137" s="56">
        <f>F137 + G137 + H137</f>
        <v>0</v>
      </c>
      <c r="F137" s="57">
        <f>D137 * 0.0073306896</f>
        <v>0</v>
      </c>
      <c r="G137" s="57">
        <f>D137 * 0.0002712919</f>
        <v>0</v>
      </c>
      <c r="H137" s="57">
        <f>D137 * 0.0000079362</f>
        <v>0</v>
      </c>
      <c r="P137" s="64" t="s">
        <v>1152</v>
      </c>
    </row>
    <row r="138" spans="1:16" x14ac:dyDescent="0.25">
      <c r="A138" s="95"/>
      <c r="B138" s="52" t="s">
        <v>1059</v>
      </c>
      <c r="C138" s="52" t="s">
        <v>626</v>
      </c>
      <c r="D138" s="50"/>
      <c r="E138" s="56">
        <f>F138 + G138 + H138</f>
        <v>0</v>
      </c>
      <c r="F138" s="57">
        <f>D138 * 0.007871328</f>
        <v>0</v>
      </c>
      <c r="G138" s="57">
        <f>D138 * 0.0002912997</f>
        <v>0</v>
      </c>
      <c r="H138" s="57">
        <f>D138 * 0.0000085215</f>
        <v>0</v>
      </c>
      <c r="P138" s="64" t="s">
        <v>1153</v>
      </c>
    </row>
    <row r="139" spans="1:16" x14ac:dyDescent="0.25">
      <c r="A139" s="95"/>
      <c r="B139" s="52" t="s">
        <v>1061</v>
      </c>
      <c r="C139" s="52" t="s">
        <v>626</v>
      </c>
      <c r="D139" s="50"/>
      <c r="E139" s="56">
        <f>F139 + G139 + H139</f>
        <v>0</v>
      </c>
      <c r="F139" s="57">
        <f>D139 * 0.0089054818</f>
        <v>0</v>
      </c>
      <c r="G139" s="57">
        <f>D139 * 0.0003295714</f>
        <v>0</v>
      </c>
      <c r="H139" s="57">
        <f>D139 * 0.0000096411</f>
        <v>0</v>
      </c>
      <c r="P139" s="64" t="s">
        <v>1154</v>
      </c>
    </row>
    <row r="140" spans="1:16" x14ac:dyDescent="0.25">
      <c r="A140" s="95"/>
      <c r="B140" s="52" t="s">
        <v>1063</v>
      </c>
      <c r="C140" s="52" t="s">
        <v>626</v>
      </c>
      <c r="D140" s="50"/>
      <c r="E140" s="56">
        <f>F140 + G140 + H140</f>
        <v>0</v>
      </c>
      <c r="F140" s="57">
        <f>D140 * 0.0109682579</f>
        <v>0</v>
      </c>
      <c r="G140" s="57">
        <f>D140 * 0.0004059099</f>
        <v>0</v>
      </c>
      <c r="H140" s="57">
        <f>D140 * 0.0000118743</f>
        <v>0</v>
      </c>
      <c r="P140" s="64" t="s">
        <v>1155</v>
      </c>
    </row>
    <row r="141" spans="1:16" x14ac:dyDescent="0.25">
      <c r="A141" s="95"/>
      <c r="B141" s="52" t="s">
        <v>634</v>
      </c>
      <c r="C141" s="52" t="s">
        <v>626</v>
      </c>
      <c r="D141" s="50"/>
      <c r="E141" s="56">
        <f>F141 + G141 + H141</f>
        <v>0</v>
      </c>
      <c r="F141" s="57">
        <f>D141 * 0.012821218</f>
        <v>0</v>
      </c>
      <c r="G141" s="57">
        <f>D141 * 0.0004744837</f>
        <v>0</v>
      </c>
      <c r="H141" s="57">
        <f>D141 * 0.0000138803</f>
        <v>0</v>
      </c>
      <c r="P141" s="64" t="s">
        <v>1156</v>
      </c>
    </row>
    <row r="142" spans="1:16" x14ac:dyDescent="0.25">
      <c r="A142" s="95"/>
      <c r="B142" s="94" t="s">
        <v>693</v>
      </c>
      <c r="C142" s="94"/>
      <c r="D142" s="94"/>
      <c r="E142" s="94"/>
      <c r="F142" s="94"/>
      <c r="G142" s="94"/>
      <c r="H142" s="94"/>
    </row>
    <row r="143" spans="1:16" x14ac:dyDescent="0.25">
      <c r="A143" s="95"/>
      <c r="B143" s="52" t="s">
        <v>625</v>
      </c>
      <c r="C143" s="52" t="s">
        <v>626</v>
      </c>
      <c r="D143" s="50"/>
      <c r="E143" s="56">
        <f>F143 + G143 + H143</f>
        <v>0</v>
      </c>
      <c r="F143" s="57">
        <f>D143 * 0.0864218545</f>
        <v>0</v>
      </c>
      <c r="G143" s="57">
        <f>D143 * 0.0001296168</f>
        <v>0</v>
      </c>
      <c r="H143" s="57">
        <f>D143 * 0.0012267309</f>
        <v>0</v>
      </c>
      <c r="P143" s="64" t="s">
        <v>1157</v>
      </c>
    </row>
    <row r="144" spans="1:16" x14ac:dyDescent="0.25">
      <c r="A144" s="95"/>
      <c r="B144" s="52" t="s">
        <v>1059</v>
      </c>
      <c r="C144" s="52" t="s">
        <v>626</v>
      </c>
      <c r="D144" s="50"/>
      <c r="E144" s="56">
        <f>F144 + G144 + H144</f>
        <v>0</v>
      </c>
      <c r="F144" s="57">
        <f>D144 * 0.0831649425</f>
        <v>0</v>
      </c>
      <c r="G144" s="57">
        <f>D144 * 0.0001247321</f>
        <v>0</v>
      </c>
      <c r="H144" s="57">
        <f>D144 * 0.0011805001</f>
        <v>0</v>
      </c>
      <c r="P144" s="64" t="s">
        <v>1158</v>
      </c>
    </row>
    <row r="145" spans="1:16" x14ac:dyDescent="0.25">
      <c r="A145" s="95"/>
      <c r="B145" s="52" t="s">
        <v>1061</v>
      </c>
      <c r="C145" s="52" t="s">
        <v>626</v>
      </c>
      <c r="D145" s="50"/>
      <c r="E145" s="56">
        <f>F145 + G145 + H145</f>
        <v>0</v>
      </c>
      <c r="F145" s="57">
        <f>D145 * 0.1107107401</f>
        <v>0</v>
      </c>
      <c r="G145" s="57">
        <f>D145 * 0.0001660457</f>
        <v>0</v>
      </c>
      <c r="H145" s="57">
        <f>D145 * 0.0015715039</f>
        <v>0</v>
      </c>
      <c r="P145" s="64" t="s">
        <v>1159</v>
      </c>
    </row>
    <row r="146" spans="1:16" x14ac:dyDescent="0.25">
      <c r="A146" s="95"/>
      <c r="B146" s="52" t="s">
        <v>1063</v>
      </c>
      <c r="C146" s="52" t="s">
        <v>626</v>
      </c>
      <c r="D146" s="50"/>
      <c r="E146" s="56">
        <f>F146 + G146 + H146</f>
        <v>0</v>
      </c>
      <c r="F146" s="57">
        <f>D146 * 0.1187103544</f>
        <v>0</v>
      </c>
      <c r="G146" s="57">
        <f>D146 * 0.0001780436</f>
        <v>0</v>
      </c>
      <c r="H146" s="57">
        <f>D146 * 0.0016850559</f>
        <v>0</v>
      </c>
      <c r="P146" s="64" t="s">
        <v>1160</v>
      </c>
    </row>
    <row r="147" spans="1:16" x14ac:dyDescent="0.25">
      <c r="A147" s="95"/>
      <c r="B147" s="52" t="s">
        <v>634</v>
      </c>
      <c r="C147" s="52" t="s">
        <v>626</v>
      </c>
      <c r="D147" s="50"/>
      <c r="E147" s="56">
        <f>F147 + G147 + H147</f>
        <v>0</v>
      </c>
      <c r="F147" s="57">
        <f>D147 * 0.1202043004</f>
        <v>0</v>
      </c>
      <c r="G147" s="57">
        <f>D147 * 0.0001802843</f>
        <v>0</v>
      </c>
      <c r="H147" s="57">
        <f>D147 * 0.001706262</f>
        <v>0</v>
      </c>
      <c r="P147" s="64" t="s">
        <v>1161</v>
      </c>
    </row>
    <row r="148" spans="1:16" x14ac:dyDescent="0.25">
      <c r="A148" s="95"/>
      <c r="B148" s="94" t="s">
        <v>699</v>
      </c>
      <c r="C148" s="94"/>
      <c r="D148" s="94"/>
      <c r="E148" s="94"/>
      <c r="F148" s="94"/>
      <c r="G148" s="94"/>
      <c r="H148" s="94"/>
    </row>
    <row r="149" spans="1:16" x14ac:dyDescent="0.25">
      <c r="A149" s="95"/>
      <c r="B149" s="52" t="s">
        <v>625</v>
      </c>
      <c r="C149" s="52" t="s">
        <v>626</v>
      </c>
      <c r="D149" s="50"/>
      <c r="E149" s="56">
        <f>F149 + G149 + H149</f>
        <v>0</v>
      </c>
      <c r="F149" s="57">
        <f>D149 * 0.0074357934</f>
        <v>0</v>
      </c>
      <c r="G149" s="57">
        <f>D149 * 0.0002751816</f>
        <v>0</v>
      </c>
      <c r="H149" s="57">
        <f>D149 * 0.00000805</f>
        <v>0</v>
      </c>
      <c r="P149" s="64" t="s">
        <v>1162</v>
      </c>
    </row>
    <row r="150" spans="1:16" x14ac:dyDescent="0.25">
      <c r="A150" s="95"/>
      <c r="B150" s="52" t="s">
        <v>1059</v>
      </c>
      <c r="C150" s="52" t="s">
        <v>626</v>
      </c>
      <c r="D150" s="50"/>
      <c r="E150" s="56">
        <f>F150 + G150 + H150</f>
        <v>0</v>
      </c>
      <c r="F150" s="57">
        <f>D150 * 0.0071418327</f>
        <v>0</v>
      </c>
      <c r="G150" s="57">
        <f>D150 * 0.0002643028</f>
        <v>0</v>
      </c>
      <c r="H150" s="57">
        <f>D150 * 0.0000077318</f>
        <v>0</v>
      </c>
      <c r="P150" s="64" t="s">
        <v>1163</v>
      </c>
    </row>
    <row r="151" spans="1:16" x14ac:dyDescent="0.25">
      <c r="A151" s="95"/>
      <c r="B151" s="52" t="s">
        <v>1061</v>
      </c>
      <c r="C151" s="52" t="s">
        <v>626</v>
      </c>
      <c r="D151" s="50"/>
      <c r="E151" s="56">
        <f>F151 + G151 + H151</f>
        <v>0</v>
      </c>
      <c r="F151" s="57">
        <f>D151 * 0.0078252363</f>
        <v>0</v>
      </c>
      <c r="G151" s="57">
        <f>D151 * 0.000289594</f>
        <v>0</v>
      </c>
      <c r="H151" s="57">
        <f>D151 * 0.0000084716</f>
        <v>0</v>
      </c>
      <c r="P151" s="64" t="s">
        <v>1164</v>
      </c>
    </row>
    <row r="152" spans="1:16" x14ac:dyDescent="0.25">
      <c r="A152" s="95"/>
      <c r="B152" s="52" t="s">
        <v>1063</v>
      </c>
      <c r="C152" s="52" t="s">
        <v>626</v>
      </c>
      <c r="D152" s="50"/>
      <c r="E152" s="56">
        <f>F152 + G152 + H152</f>
        <v>0</v>
      </c>
      <c r="F152" s="57">
        <f>D152 * 0.0088570309</f>
        <v>0</v>
      </c>
      <c r="G152" s="57">
        <f>D152 * 0.0003277783</f>
        <v>0</v>
      </c>
      <c r="H152" s="57">
        <f>D152 * 0.0000095886</f>
        <v>0</v>
      </c>
      <c r="P152" s="64" t="s">
        <v>1165</v>
      </c>
    </row>
    <row r="153" spans="1:16" x14ac:dyDescent="0.25">
      <c r="A153" s="95"/>
      <c r="B153" s="52" t="s">
        <v>634</v>
      </c>
      <c r="C153" s="52" t="s">
        <v>626</v>
      </c>
      <c r="D153" s="50"/>
      <c r="E153" s="56">
        <f>F153 + G153 + H153</f>
        <v>0</v>
      </c>
      <c r="F153" s="57">
        <f>D153 * 0.0104755555</f>
        <v>0</v>
      </c>
      <c r="G153" s="57">
        <f>D153 * 0.0003876762</f>
        <v>0</v>
      </c>
      <c r="H153" s="57">
        <f>D153 * 0.0000113409</f>
        <v>0</v>
      </c>
      <c r="P153" s="64" t="s">
        <v>1166</v>
      </c>
    </row>
    <row r="154" spans="1:16" x14ac:dyDescent="0.25">
      <c r="A154" s="95"/>
      <c r="B154" s="94" t="s">
        <v>705</v>
      </c>
      <c r="C154" s="94"/>
      <c r="D154" s="94"/>
      <c r="E154" s="94"/>
      <c r="F154" s="94"/>
      <c r="G154" s="94"/>
      <c r="H154" s="94"/>
    </row>
    <row r="155" spans="1:16" x14ac:dyDescent="0.25">
      <c r="A155" s="95"/>
      <c r="B155" s="52" t="s">
        <v>625</v>
      </c>
      <c r="C155" s="52" t="s">
        <v>626</v>
      </c>
      <c r="D155" s="50"/>
      <c r="E155" s="56">
        <f>F155 + G155 + H155</f>
        <v>0</v>
      </c>
      <c r="F155" s="57">
        <f>D155 * 0.0153790692</f>
        <v>0</v>
      </c>
      <c r="G155" s="57">
        <f>D155 * 0.0005691439</f>
        <v>0</v>
      </c>
      <c r="H155" s="57">
        <f>D155 * 0.0000166494</f>
        <v>0</v>
      </c>
      <c r="P155" s="64" t="s">
        <v>1167</v>
      </c>
    </row>
    <row r="156" spans="1:16" x14ac:dyDescent="0.25">
      <c r="A156" s="95"/>
      <c r="B156" s="52" t="s">
        <v>1059</v>
      </c>
      <c r="C156" s="52" t="s">
        <v>626</v>
      </c>
      <c r="D156" s="50"/>
      <c r="E156" s="56">
        <f>F156 + G156 + H156</f>
        <v>0</v>
      </c>
      <c r="F156" s="57">
        <f>D156 * 0.0165132755</f>
        <v>0</v>
      </c>
      <c r="G156" s="57">
        <f>D156 * 0.0006111183</f>
        <v>0</v>
      </c>
      <c r="H156" s="57">
        <f>D156 * 0.0000178773</f>
        <v>0</v>
      </c>
      <c r="P156" s="64" t="s">
        <v>1168</v>
      </c>
    </row>
    <row r="157" spans="1:16" x14ac:dyDescent="0.25">
      <c r="A157" s="95"/>
      <c r="B157" s="52" t="s">
        <v>1061</v>
      </c>
      <c r="C157" s="52" t="s">
        <v>626</v>
      </c>
      <c r="D157" s="50"/>
      <c r="E157" s="56">
        <f>F157 + G157 + H157</f>
        <v>0</v>
      </c>
      <c r="F157" s="57">
        <f>D157 * 0.0186828289</f>
        <v>0</v>
      </c>
      <c r="G157" s="57">
        <f>D157 * 0.0006914084</f>
        <v>0</v>
      </c>
      <c r="H157" s="57">
        <f>D157 * 0.0000202261</f>
        <v>0</v>
      </c>
      <c r="P157" s="64" t="s">
        <v>1169</v>
      </c>
    </row>
    <row r="158" spans="1:16" x14ac:dyDescent="0.25">
      <c r="A158" s="95"/>
      <c r="B158" s="52" t="s">
        <v>1063</v>
      </c>
      <c r="C158" s="52" t="s">
        <v>626</v>
      </c>
      <c r="D158" s="50"/>
      <c r="E158" s="56">
        <f>F158 + G158 + H158</f>
        <v>0</v>
      </c>
      <c r="F158" s="57">
        <f>D158 * 0.0230103312</f>
        <v>0</v>
      </c>
      <c r="G158" s="57">
        <f>D158 * 0.0008515593</f>
        <v>0</v>
      </c>
      <c r="H158" s="57">
        <f>D158 * 0.000024911</f>
        <v>0</v>
      </c>
      <c r="P158" s="64" t="s">
        <v>1170</v>
      </c>
    </row>
    <row r="159" spans="1:16" x14ac:dyDescent="0.25">
      <c r="A159" s="95"/>
      <c r="B159" s="52" t="s">
        <v>634</v>
      </c>
      <c r="C159" s="52" t="s">
        <v>626</v>
      </c>
      <c r="D159" s="50"/>
      <c r="E159" s="56">
        <f>F159 + G159 + H159</f>
        <v>0</v>
      </c>
      <c r="F159" s="57">
        <f>D159 * 0.02689766</f>
        <v>0</v>
      </c>
      <c r="G159" s="57">
        <f>D159 * 0.0009954204</f>
        <v>0</v>
      </c>
      <c r="H159" s="57">
        <f>D159 * 0.0000291195</f>
        <v>0</v>
      </c>
      <c r="P159" s="64" t="s">
        <v>1171</v>
      </c>
    </row>
    <row r="160" spans="1:16" x14ac:dyDescent="0.25">
      <c r="D160" s="65" t="s">
        <v>116</v>
      </c>
      <c r="E160" s="56">
        <f>SUM(E106:E159)</f>
        <v>0</v>
      </c>
      <c r="F160" s="57">
        <f>SUM(F106:F159)</f>
        <v>0</v>
      </c>
      <c r="G160" s="57">
        <f>SUM(G106:G159)</f>
        <v>0</v>
      </c>
      <c r="H160" s="57">
        <f>SUM(H106:H159)</f>
        <v>0</v>
      </c>
    </row>
    <row r="162" spans="1:16" x14ac:dyDescent="0.25">
      <c r="A162" s="92" t="s">
        <v>1057</v>
      </c>
      <c r="B162" s="92"/>
      <c r="C162" s="92"/>
      <c r="D162" s="92"/>
      <c r="E162" s="92"/>
      <c r="F162" s="92"/>
      <c r="G162" s="92"/>
      <c r="H162" s="92"/>
    </row>
    <row r="163" spans="1:16" x14ac:dyDescent="0.25">
      <c r="A163" s="93" t="s">
        <v>767</v>
      </c>
      <c r="B163" s="93"/>
      <c r="C163" s="59" t="s">
        <v>61</v>
      </c>
      <c r="D163" s="60" t="s">
        <v>62</v>
      </c>
      <c r="E163" s="58" t="s">
        <v>63</v>
      </c>
      <c r="F163" s="58" t="s">
        <v>64</v>
      </c>
      <c r="G163" s="58" t="s">
        <v>65</v>
      </c>
      <c r="H163" s="58" t="s">
        <v>66</v>
      </c>
      <c r="P163" s="61" t="s">
        <v>68</v>
      </c>
    </row>
    <row r="164" spans="1:16" x14ac:dyDescent="0.25">
      <c r="A164" s="95" t="s">
        <v>60</v>
      </c>
      <c r="B164" s="94" t="s">
        <v>819</v>
      </c>
      <c r="C164" s="94"/>
      <c r="D164" s="94"/>
      <c r="E164" s="94"/>
      <c r="F164" s="94"/>
      <c r="G164" s="94"/>
      <c r="H164" s="94"/>
    </row>
    <row r="165" spans="1:16" x14ac:dyDescent="0.25">
      <c r="A165" s="95"/>
      <c r="B165" s="52" t="s">
        <v>625</v>
      </c>
      <c r="C165" s="52" t="s">
        <v>626</v>
      </c>
      <c r="D165" s="50"/>
      <c r="E165" s="56">
        <f>F165 + G165 + H165</f>
        <v>0</v>
      </c>
      <c r="F165" s="57">
        <f>D165 * 0.1626817062</f>
        <v>0</v>
      </c>
      <c r="G165" s="57">
        <f>D165 * 0.0021666511</f>
        <v>0</v>
      </c>
      <c r="H165" s="57">
        <f>D165 * 0.0049711044</f>
        <v>0</v>
      </c>
      <c r="P165" s="64" t="s">
        <v>1172</v>
      </c>
    </row>
    <row r="166" spans="1:16" x14ac:dyDescent="0.25">
      <c r="A166" s="95"/>
      <c r="B166" s="52" t="s">
        <v>1059</v>
      </c>
      <c r="C166" s="52" t="s">
        <v>626</v>
      </c>
      <c r="D166" s="50"/>
      <c r="E166" s="56">
        <f>F166 + G166 + H166</f>
        <v>0</v>
      </c>
      <c r="F166" s="57">
        <f>D166 * 0.1746794821</f>
        <v>0</v>
      </c>
      <c r="G166" s="57">
        <f>D166 * 0.0023264417</f>
        <v>0</v>
      </c>
      <c r="H166" s="57">
        <f>D166 * 0.0053377233</f>
        <v>0</v>
      </c>
      <c r="P166" s="64" t="s">
        <v>1173</v>
      </c>
    </row>
    <row r="167" spans="1:16" x14ac:dyDescent="0.25">
      <c r="A167" s="95"/>
      <c r="B167" s="52" t="s">
        <v>1061</v>
      </c>
      <c r="C167" s="52" t="s">
        <v>626</v>
      </c>
      <c r="D167" s="50"/>
      <c r="E167" s="56">
        <f>F167 + G167 + H167</f>
        <v>0</v>
      </c>
      <c r="F167" s="57">
        <f>D167 * 0.2356851219</f>
        <v>0</v>
      </c>
      <c r="G167" s="57">
        <f>D167 * 0.0031389358</f>
        <v>0</v>
      </c>
      <c r="H167" s="57">
        <f>D167 * 0.0072018874</f>
        <v>0</v>
      </c>
      <c r="P167" s="64" t="s">
        <v>1174</v>
      </c>
    </row>
    <row r="168" spans="1:16" x14ac:dyDescent="0.25">
      <c r="A168" s="95"/>
      <c r="B168" s="52" t="s">
        <v>1063</v>
      </c>
      <c r="C168" s="52" t="s">
        <v>626</v>
      </c>
      <c r="D168" s="50"/>
      <c r="E168" s="56">
        <f>F168 + G168 + H168</f>
        <v>0</v>
      </c>
      <c r="F168" s="57">
        <f>D168 * 0.2493097148</f>
        <v>0</v>
      </c>
      <c r="G168" s="57">
        <f>D168 * 0.0033203929</f>
        <v>0</v>
      </c>
      <c r="H168" s="57">
        <f>D168 * 0.0076182174</f>
        <v>0</v>
      </c>
      <c r="P168" s="64" t="s">
        <v>1175</v>
      </c>
    </row>
    <row r="169" spans="1:16" x14ac:dyDescent="0.25">
      <c r="A169" s="95"/>
      <c r="B169" s="52" t="s">
        <v>634</v>
      </c>
      <c r="C169" s="52" t="s">
        <v>626</v>
      </c>
      <c r="D169" s="50"/>
      <c r="E169" s="56">
        <f>F169 + G169 + H169</f>
        <v>0</v>
      </c>
      <c r="F169" s="57">
        <f>D169 * 0.2846929859</f>
        <v>0</v>
      </c>
      <c r="G169" s="57">
        <f>D169 * 0.0037916395</f>
        <v>0</v>
      </c>
      <c r="H169" s="57">
        <f>D169 * 0.0086994326</f>
        <v>0</v>
      </c>
      <c r="P169" s="64" t="s">
        <v>1176</v>
      </c>
    </row>
    <row r="170" spans="1:16" x14ac:dyDescent="0.25">
      <c r="A170" s="95"/>
      <c r="B170" s="94" t="s">
        <v>89</v>
      </c>
      <c r="C170" s="94"/>
      <c r="D170" s="94"/>
      <c r="E170" s="94"/>
      <c r="F170" s="94"/>
      <c r="G170" s="94"/>
      <c r="H170" s="94"/>
    </row>
    <row r="171" spans="1:16" x14ac:dyDescent="0.25">
      <c r="A171" s="95"/>
      <c r="B171" s="52" t="s">
        <v>625</v>
      </c>
      <c r="C171" s="52" t="s">
        <v>626</v>
      </c>
      <c r="D171" s="50"/>
      <c r="E171" s="56">
        <f>F171 + G171 + H171</f>
        <v>0</v>
      </c>
      <c r="F171" s="57">
        <f>D171 * 0.175462759</f>
        <v>0</v>
      </c>
      <c r="G171" s="57">
        <f>D171 * 0.0002631618</f>
        <v>0</v>
      </c>
      <c r="H171" s="57">
        <f>D171 * 0.0024906384</f>
        <v>0</v>
      </c>
      <c r="P171" s="64" t="s">
        <v>1177</v>
      </c>
    </row>
    <row r="172" spans="1:16" x14ac:dyDescent="0.25">
      <c r="A172" s="95"/>
      <c r="B172" s="52" t="s">
        <v>1059</v>
      </c>
      <c r="C172" s="52" t="s">
        <v>626</v>
      </c>
      <c r="D172" s="50"/>
      <c r="E172" s="56">
        <f>F172 + G172 + H172</f>
        <v>0</v>
      </c>
      <c r="F172" s="57">
        <f>D172 * 0.1688502328</f>
        <v>0</v>
      </c>
      <c r="G172" s="57">
        <f>D172 * 0.0002532442</f>
        <v>0</v>
      </c>
      <c r="H172" s="57">
        <f>D172 * 0.0023967757</f>
        <v>0</v>
      </c>
      <c r="P172" s="64" t="s">
        <v>1178</v>
      </c>
    </row>
    <row r="173" spans="1:16" x14ac:dyDescent="0.25">
      <c r="A173" s="95"/>
      <c r="B173" s="52" t="s">
        <v>1061</v>
      </c>
      <c r="C173" s="52" t="s">
        <v>626</v>
      </c>
      <c r="D173" s="50"/>
      <c r="E173" s="56">
        <f>F173 + G173 + H173</f>
        <v>0</v>
      </c>
      <c r="F173" s="57">
        <f>D173 * 0.2247766148</f>
        <v>0</v>
      </c>
      <c r="G173" s="57">
        <f>D173 * 0.0003371235</f>
        <v>0</v>
      </c>
      <c r="H173" s="57">
        <f>D173 * 0.003190633</f>
        <v>0</v>
      </c>
      <c r="P173" s="64" t="s">
        <v>1179</v>
      </c>
    </row>
    <row r="174" spans="1:16" x14ac:dyDescent="0.25">
      <c r="A174" s="95"/>
      <c r="B174" s="52" t="s">
        <v>1063</v>
      </c>
      <c r="C174" s="52" t="s">
        <v>626</v>
      </c>
      <c r="D174" s="50"/>
      <c r="E174" s="56">
        <f>F174 + G174 + H174</f>
        <v>0</v>
      </c>
      <c r="F174" s="57">
        <f>D174 * 0.241018275</f>
        <v>0</v>
      </c>
      <c r="G174" s="57">
        <f>D174 * 0.000361483</f>
        <v>0</v>
      </c>
      <c r="H174" s="57">
        <f>D174 * 0.0034211782</f>
        <v>0</v>
      </c>
      <c r="P174" s="64" t="s">
        <v>1180</v>
      </c>
    </row>
    <row r="175" spans="1:16" x14ac:dyDescent="0.25">
      <c r="A175" s="95"/>
      <c r="B175" s="52" t="s">
        <v>634</v>
      </c>
      <c r="C175" s="52" t="s">
        <v>626</v>
      </c>
      <c r="D175" s="50"/>
      <c r="E175" s="56">
        <f>F175 + G175 + H175</f>
        <v>0</v>
      </c>
      <c r="F175" s="57">
        <f>D175 * 0.2440514417</f>
        <v>0</v>
      </c>
      <c r="G175" s="57">
        <f>D175 * 0.0003660322</f>
        <v>0</v>
      </c>
      <c r="H175" s="57">
        <f>D175 * 0.003464233</f>
        <v>0</v>
      </c>
      <c r="P175" s="64" t="s">
        <v>1181</v>
      </c>
    </row>
    <row r="176" spans="1:16" x14ac:dyDescent="0.25">
      <c r="A176" s="95"/>
      <c r="B176" s="94" t="s">
        <v>822</v>
      </c>
      <c r="C176" s="94"/>
      <c r="D176" s="94"/>
      <c r="E176" s="94"/>
      <c r="F176" s="94"/>
      <c r="G176" s="94"/>
      <c r="H176" s="94"/>
    </row>
    <row r="177" spans="1:16" x14ac:dyDescent="0.25">
      <c r="A177" s="95"/>
      <c r="B177" s="52" t="s">
        <v>625</v>
      </c>
      <c r="C177" s="52" t="s">
        <v>626</v>
      </c>
      <c r="D177" s="50"/>
      <c r="E177" s="56">
        <f>F177 + G177 + H177</f>
        <v>0</v>
      </c>
      <c r="F177" s="57">
        <f>D177 * 0.1294681371</f>
        <v>0</v>
      </c>
      <c r="G177" s="57">
        <f>D177 * 0.0017243014</f>
        <v>0</v>
      </c>
      <c r="H177" s="57">
        <f>D177 * 0.0039561893</f>
        <v>0</v>
      </c>
      <c r="P177" s="64" t="s">
        <v>1182</v>
      </c>
    </row>
    <row r="178" spans="1:16" x14ac:dyDescent="0.25">
      <c r="A178" s="95"/>
      <c r="B178" s="52" t="s">
        <v>1059</v>
      </c>
      <c r="C178" s="52" t="s">
        <v>626</v>
      </c>
      <c r="D178" s="50"/>
      <c r="E178" s="56">
        <f>F178 + G178 + H178</f>
        <v>0</v>
      </c>
      <c r="F178" s="57">
        <f>D178 * 0.1390164122</f>
        <v>0</v>
      </c>
      <c r="G178" s="57">
        <f>D178 * 0.0018514686</f>
        <v>0</v>
      </c>
      <c r="H178" s="57">
        <f>D178 * 0.0042479582</f>
        <v>0</v>
      </c>
      <c r="P178" s="64" t="s">
        <v>1183</v>
      </c>
    </row>
    <row r="179" spans="1:16" x14ac:dyDescent="0.25">
      <c r="A179" s="95"/>
      <c r="B179" s="52" t="s">
        <v>1061</v>
      </c>
      <c r="C179" s="52" t="s">
        <v>626</v>
      </c>
      <c r="D179" s="50"/>
      <c r="E179" s="56">
        <f>F179 + G179 + H179</f>
        <v>0</v>
      </c>
      <c r="F179" s="57">
        <f>D179 * 0.1875669636</f>
        <v>0</v>
      </c>
      <c r="G179" s="57">
        <f>D179 * 0.0024980816</f>
        <v>0</v>
      </c>
      <c r="H179" s="57">
        <f>D179 * 0.0057315292</f>
        <v>0</v>
      </c>
      <c r="P179" s="64" t="s">
        <v>1184</v>
      </c>
    </row>
    <row r="180" spans="1:16" x14ac:dyDescent="0.25">
      <c r="A180" s="95"/>
      <c r="B180" s="52" t="s">
        <v>1063</v>
      </c>
      <c r="C180" s="52" t="s">
        <v>626</v>
      </c>
      <c r="D180" s="50"/>
      <c r="E180" s="56">
        <f>F180 + G180 + H180</f>
        <v>0</v>
      </c>
      <c r="F180" s="57">
        <f>D180 * 0.1984099201</f>
        <v>0</v>
      </c>
      <c r="G180" s="57">
        <f>D180 * 0.0026424918</f>
        <v>0</v>
      </c>
      <c r="H180" s="57">
        <f>D180 * 0.0060628601</f>
        <v>0</v>
      </c>
      <c r="P180" s="64" t="s">
        <v>1185</v>
      </c>
    </row>
    <row r="181" spans="1:16" x14ac:dyDescent="0.25">
      <c r="A181" s="95"/>
      <c r="B181" s="52" t="s">
        <v>634</v>
      </c>
      <c r="C181" s="52" t="s">
        <v>626</v>
      </c>
      <c r="D181" s="50"/>
      <c r="E181" s="56">
        <f>F181 + G181 + H181</f>
        <v>0</v>
      </c>
      <c r="F181" s="57">
        <f>D181 * 0.2265692399</f>
        <v>0</v>
      </c>
      <c r="G181" s="57">
        <f>D181 * 0.0030175274</f>
        <v>0</v>
      </c>
      <c r="H181" s="57">
        <f>D181 * 0.0069233312</f>
        <v>0</v>
      </c>
      <c r="P181" s="64" t="s">
        <v>1186</v>
      </c>
    </row>
    <row r="182" spans="1:16" x14ac:dyDescent="0.25">
      <c r="A182" s="95"/>
      <c r="B182" s="94" t="s">
        <v>824</v>
      </c>
      <c r="C182" s="94"/>
      <c r="D182" s="94"/>
      <c r="E182" s="94"/>
      <c r="F182" s="94"/>
      <c r="G182" s="94"/>
      <c r="H182" s="94"/>
    </row>
    <row r="183" spans="1:16" x14ac:dyDescent="0.25">
      <c r="A183" s="95"/>
      <c r="B183" s="52" t="s">
        <v>625</v>
      </c>
      <c r="C183" s="52" t="s">
        <v>626</v>
      </c>
      <c r="D183" s="50"/>
      <c r="E183" s="56">
        <f>F183 + G183 + H183</f>
        <v>0</v>
      </c>
      <c r="F183" s="57">
        <f>D183 * 0.1585980161</f>
        <v>0</v>
      </c>
      <c r="G183" s="57">
        <f>D183 * 0.0002378678</f>
        <v>0</v>
      </c>
      <c r="H183" s="57">
        <f>D183 * 0.0022512487</f>
        <v>0</v>
      </c>
      <c r="P183" s="64" t="s">
        <v>1187</v>
      </c>
    </row>
    <row r="184" spans="1:16" x14ac:dyDescent="0.25">
      <c r="A184" s="95"/>
      <c r="B184" s="52" t="s">
        <v>1059</v>
      </c>
      <c r="C184" s="52" t="s">
        <v>626</v>
      </c>
      <c r="D184" s="50"/>
      <c r="E184" s="56">
        <f>F184 + G184 + H184</f>
        <v>0</v>
      </c>
      <c r="F184" s="57">
        <f>D184 * 0.1526210581</f>
        <v>0</v>
      </c>
      <c r="G184" s="57">
        <f>D184 * 0.0002289035</f>
        <v>0</v>
      </c>
      <c r="H184" s="57">
        <f>D184 * 0.0021664077</f>
        <v>0</v>
      </c>
      <c r="P184" s="64" t="s">
        <v>1188</v>
      </c>
    </row>
    <row r="185" spans="1:16" x14ac:dyDescent="0.25">
      <c r="A185" s="95"/>
      <c r="B185" s="52" t="s">
        <v>1061</v>
      </c>
      <c r="C185" s="52" t="s">
        <v>626</v>
      </c>
      <c r="D185" s="50"/>
      <c r="E185" s="56">
        <f>F185 + G185 + H185</f>
        <v>0</v>
      </c>
      <c r="F185" s="57">
        <f>D185 * 0.2031720313</f>
        <v>0</v>
      </c>
      <c r="G185" s="57">
        <f>D185 * 0.0003047206</f>
        <v>0</v>
      </c>
      <c r="H185" s="57">
        <f>D185 * 0.0028839627</f>
        <v>0</v>
      </c>
      <c r="P185" s="64" t="s">
        <v>1189</v>
      </c>
    </row>
    <row r="186" spans="1:16" x14ac:dyDescent="0.25">
      <c r="A186" s="95"/>
      <c r="B186" s="52" t="s">
        <v>1063</v>
      </c>
      <c r="C186" s="52" t="s">
        <v>626</v>
      </c>
      <c r="D186" s="50"/>
      <c r="E186" s="56">
        <f>F186 + G186 + H186</f>
        <v>0</v>
      </c>
      <c r="F186" s="57">
        <f>D186 * 0.2178526114</f>
        <v>0</v>
      </c>
      <c r="G186" s="57">
        <f>D186 * 0.0003267388</f>
        <v>0</v>
      </c>
      <c r="H186" s="57">
        <f>D186 * 0.0030923489</f>
        <v>0</v>
      </c>
      <c r="P186" s="64" t="s">
        <v>1190</v>
      </c>
    </row>
    <row r="187" spans="1:16" x14ac:dyDescent="0.25">
      <c r="A187" s="95"/>
      <c r="B187" s="52" t="s">
        <v>634</v>
      </c>
      <c r="C187" s="52" t="s">
        <v>626</v>
      </c>
      <c r="D187" s="50"/>
      <c r="E187" s="56">
        <f>F187 + G187 + H187</f>
        <v>0</v>
      </c>
      <c r="F187" s="57">
        <f>D187 * 0.2205942429</f>
        <v>0</v>
      </c>
      <c r="G187" s="57">
        <f>D187 * 0.0003308507</f>
        <v>0</v>
      </c>
      <c r="H187" s="57">
        <f>D187 * 0.0031312655</f>
        <v>0</v>
      </c>
      <c r="P187" s="64" t="s">
        <v>1191</v>
      </c>
    </row>
    <row r="188" spans="1:16" x14ac:dyDescent="0.25">
      <c r="A188" s="95"/>
      <c r="B188" s="94" t="s">
        <v>681</v>
      </c>
      <c r="C188" s="94"/>
      <c r="D188" s="94"/>
      <c r="E188" s="94"/>
      <c r="F188" s="94"/>
      <c r="G188" s="94"/>
      <c r="H188" s="94"/>
    </row>
    <row r="189" spans="1:16" x14ac:dyDescent="0.25">
      <c r="A189" s="95"/>
      <c r="B189" s="52" t="s">
        <v>625</v>
      </c>
      <c r="C189" s="52" t="s">
        <v>626</v>
      </c>
      <c r="D189" s="50"/>
      <c r="E189" s="56">
        <f>F189 + G189 + H189</f>
        <v>0</v>
      </c>
      <c r="F189" s="57">
        <f>D189 * 0.0677549917</f>
        <v>0</v>
      </c>
      <c r="G189" s="57">
        <f>D189 * 0.0009023844</f>
        <v>0</v>
      </c>
      <c r="H189" s="57">
        <f>D189 * 0.0020704057</f>
        <v>0</v>
      </c>
      <c r="P189" s="64" t="s">
        <v>1192</v>
      </c>
    </row>
    <row r="190" spans="1:16" x14ac:dyDescent="0.25">
      <c r="A190" s="95"/>
      <c r="B190" s="52" t="s">
        <v>1059</v>
      </c>
      <c r="C190" s="52" t="s">
        <v>626</v>
      </c>
      <c r="D190" s="50"/>
      <c r="E190" s="56">
        <f>F190 + G190 + H190</f>
        <v>0</v>
      </c>
      <c r="F190" s="57">
        <f>D190 * 0.0727519224</f>
        <v>0</v>
      </c>
      <c r="G190" s="57">
        <f>D190 * 0.0009689352</f>
        <v>0</v>
      </c>
      <c r="H190" s="57">
        <f>D190 * 0.0022230981</f>
        <v>0</v>
      </c>
      <c r="P190" s="64" t="s">
        <v>1193</v>
      </c>
    </row>
    <row r="191" spans="1:16" x14ac:dyDescent="0.25">
      <c r="A191" s="95"/>
      <c r="B191" s="52" t="s">
        <v>1061</v>
      </c>
      <c r="C191" s="52" t="s">
        <v>626</v>
      </c>
      <c r="D191" s="50"/>
      <c r="E191" s="56">
        <f>F191 + G191 + H191</f>
        <v>0</v>
      </c>
      <c r="F191" s="57">
        <f>D191 * 0.0981600443</f>
        <v>0</v>
      </c>
      <c r="G191" s="57">
        <f>D191 * 0.0013073294</f>
        <v>0</v>
      </c>
      <c r="H191" s="57">
        <f>D191 * 0.0029995003</f>
        <v>0</v>
      </c>
      <c r="P191" s="64" t="s">
        <v>1194</v>
      </c>
    </row>
    <row r="192" spans="1:16" x14ac:dyDescent="0.25">
      <c r="A192" s="95"/>
      <c r="B192" s="52" t="s">
        <v>1063</v>
      </c>
      <c r="C192" s="52" t="s">
        <v>626</v>
      </c>
      <c r="D192" s="50"/>
      <c r="E192" s="56">
        <f>F192 + G192 + H192</f>
        <v>0</v>
      </c>
      <c r="F192" s="57">
        <f>D192 * 0.1038345249</f>
        <v>0</v>
      </c>
      <c r="G192" s="57">
        <f>D192 * 0.0013829041</f>
        <v>0</v>
      </c>
      <c r="H192" s="57">
        <f>D192 * 0.0031728968</f>
        <v>0</v>
      </c>
      <c r="P192" s="64" t="s">
        <v>1195</v>
      </c>
    </row>
    <row r="193" spans="1:16" x14ac:dyDescent="0.25">
      <c r="A193" s="95"/>
      <c r="B193" s="52" t="s">
        <v>634</v>
      </c>
      <c r="C193" s="52" t="s">
        <v>626</v>
      </c>
      <c r="D193" s="50"/>
      <c r="E193" s="56">
        <f>F193 + G193 + H193</f>
        <v>0</v>
      </c>
      <c r="F193" s="57">
        <f>D193 * 0.1185712355</f>
        <v>0</v>
      </c>
      <c r="G193" s="57">
        <f>D193 * 0.0015791727</f>
        <v>0</v>
      </c>
      <c r="H193" s="57">
        <f>D193 * 0.00362321</f>
        <v>0</v>
      </c>
      <c r="P193" s="64" t="s">
        <v>1196</v>
      </c>
    </row>
    <row r="194" spans="1:16" x14ac:dyDescent="0.25">
      <c r="A194" s="95"/>
      <c r="B194" s="94" t="s">
        <v>687</v>
      </c>
      <c r="C194" s="94"/>
      <c r="D194" s="94"/>
      <c r="E194" s="94"/>
      <c r="F194" s="94"/>
      <c r="G194" s="94"/>
      <c r="H194" s="94"/>
    </row>
    <row r="195" spans="1:16" x14ac:dyDescent="0.25">
      <c r="A195" s="95"/>
      <c r="B195" s="52" t="s">
        <v>625</v>
      </c>
      <c r="C195" s="52" t="s">
        <v>626</v>
      </c>
      <c r="D195" s="50"/>
      <c r="E195" s="56">
        <f>F195 + G195 + H195</f>
        <v>0</v>
      </c>
      <c r="F195" s="57">
        <f>D195 * 0.0071339004</f>
        <v>0</v>
      </c>
      <c r="G195" s="57">
        <f>D195 * 0.0002640092</f>
        <v>0</v>
      </c>
      <c r="H195" s="57">
        <f>D195 * 0.0000077232</f>
        <v>0</v>
      </c>
      <c r="P195" s="64" t="s">
        <v>1197</v>
      </c>
    </row>
    <row r="196" spans="1:16" x14ac:dyDescent="0.25">
      <c r="A196" s="95"/>
      <c r="B196" s="52" t="s">
        <v>1059</v>
      </c>
      <c r="C196" s="52" t="s">
        <v>626</v>
      </c>
      <c r="D196" s="50"/>
      <c r="E196" s="56">
        <f>F196 + G196 + H196</f>
        <v>0</v>
      </c>
      <c r="F196" s="57">
        <f>D196 * 0.0076600256</f>
        <v>0</v>
      </c>
      <c r="G196" s="57">
        <f>D196 * 0.0002834799</f>
        <v>0</v>
      </c>
      <c r="H196" s="57">
        <f>D196 * 0.0000082928</f>
        <v>0</v>
      </c>
      <c r="P196" s="64" t="s">
        <v>1198</v>
      </c>
    </row>
    <row r="197" spans="1:16" x14ac:dyDescent="0.25">
      <c r="A197" s="95"/>
      <c r="B197" s="52" t="s">
        <v>1061</v>
      </c>
      <c r="C197" s="52" t="s">
        <v>626</v>
      </c>
      <c r="D197" s="50"/>
      <c r="E197" s="56">
        <f>F197 + G197 + H197</f>
        <v>0</v>
      </c>
      <c r="F197" s="57">
        <f>D197 * 0.0086664179</f>
        <v>0</v>
      </c>
      <c r="G197" s="57">
        <f>D197 * 0.0003207242</f>
        <v>0</v>
      </c>
      <c r="H197" s="57">
        <f>D197 * 0.0000093823</f>
        <v>0</v>
      </c>
      <c r="P197" s="64" t="s">
        <v>1199</v>
      </c>
    </row>
    <row r="198" spans="1:16" x14ac:dyDescent="0.25">
      <c r="A198" s="95"/>
      <c r="B198" s="52" t="s">
        <v>1063</v>
      </c>
      <c r="C198" s="52" t="s">
        <v>626</v>
      </c>
      <c r="D198" s="50"/>
      <c r="E198" s="56">
        <f>F198 + G198 + H198</f>
        <v>0</v>
      </c>
      <c r="F198" s="57">
        <f>D198 * 0.0106738197</f>
        <v>0</v>
      </c>
      <c r="G198" s="57">
        <f>D198 * 0.0003950135</f>
        <v>0</v>
      </c>
      <c r="H198" s="57">
        <f>D198 * 0.0000115555</f>
        <v>0</v>
      </c>
      <c r="P198" s="64" t="s">
        <v>1200</v>
      </c>
    </row>
    <row r="199" spans="1:16" x14ac:dyDescent="0.25">
      <c r="A199" s="95"/>
      <c r="B199" s="52" t="s">
        <v>634</v>
      </c>
      <c r="C199" s="52" t="s">
        <v>626</v>
      </c>
      <c r="D199" s="50"/>
      <c r="E199" s="56">
        <f>F199 + G199 + H199</f>
        <v>0</v>
      </c>
      <c r="F199" s="57">
        <f>D199 * 0.0124770379</f>
        <v>0</v>
      </c>
      <c r="G199" s="57">
        <f>D199 * 0.0004617464</f>
        <v>0</v>
      </c>
      <c r="H199" s="57">
        <f>D199 * 0.0000135077</f>
        <v>0</v>
      </c>
      <c r="P199" s="64" t="s">
        <v>1201</v>
      </c>
    </row>
    <row r="200" spans="1:16" x14ac:dyDescent="0.25">
      <c r="A200" s="95"/>
      <c r="B200" s="94" t="s">
        <v>693</v>
      </c>
      <c r="C200" s="94"/>
      <c r="D200" s="94"/>
      <c r="E200" s="94"/>
      <c r="F200" s="94"/>
      <c r="G200" s="94"/>
      <c r="H200" s="94"/>
    </row>
    <row r="201" spans="1:16" x14ac:dyDescent="0.25">
      <c r="A201" s="95"/>
      <c r="B201" s="52" t="s">
        <v>625</v>
      </c>
      <c r="C201" s="52" t="s">
        <v>626</v>
      </c>
      <c r="D201" s="50"/>
      <c r="E201" s="56">
        <f>F201 + G201 + H201</f>
        <v>0</v>
      </c>
      <c r="F201" s="57">
        <f>D201 * 0.0829996284</f>
        <v>0</v>
      </c>
      <c r="G201" s="57">
        <f>D201 * 0.0001244841</f>
        <v>0</v>
      </c>
      <c r="H201" s="57">
        <f>D201 * 0.0011781535</f>
        <v>0</v>
      </c>
      <c r="P201" s="64" t="s">
        <v>1202</v>
      </c>
    </row>
    <row r="202" spans="1:16" x14ac:dyDescent="0.25">
      <c r="A202" s="95"/>
      <c r="B202" s="52" t="s">
        <v>1059</v>
      </c>
      <c r="C202" s="52" t="s">
        <v>626</v>
      </c>
      <c r="D202" s="50"/>
      <c r="E202" s="56">
        <f>F202 + G202 + H202</f>
        <v>0</v>
      </c>
      <c r="F202" s="57">
        <f>D202 * 0.0798716871</f>
        <v>0</v>
      </c>
      <c r="G202" s="57">
        <f>D202 * 0.0001197928</f>
        <v>0</v>
      </c>
      <c r="H202" s="57">
        <f>D202 * 0.0011337533</f>
        <v>0</v>
      </c>
      <c r="P202" s="64" t="s">
        <v>1203</v>
      </c>
    </row>
    <row r="203" spans="1:16" x14ac:dyDescent="0.25">
      <c r="A203" s="95"/>
      <c r="B203" s="52" t="s">
        <v>1061</v>
      </c>
      <c r="C203" s="52" t="s">
        <v>626</v>
      </c>
      <c r="D203" s="50"/>
      <c r="E203" s="56">
        <f>F203 + G203 + H203</f>
        <v>0</v>
      </c>
      <c r="F203" s="57">
        <f>D203 * 0.1063266964</f>
        <v>0</v>
      </c>
      <c r="G203" s="57">
        <f>D203 * 0.0001594704</f>
        <v>0</v>
      </c>
      <c r="H203" s="57">
        <f>D203 * 0.0015092738</f>
        <v>0</v>
      </c>
      <c r="P203" s="64" t="s">
        <v>1204</v>
      </c>
    </row>
    <row r="204" spans="1:16" x14ac:dyDescent="0.25">
      <c r="A204" s="95"/>
      <c r="B204" s="52" t="s">
        <v>1063</v>
      </c>
      <c r="C204" s="52" t="s">
        <v>626</v>
      </c>
      <c r="D204" s="50"/>
      <c r="E204" s="56">
        <f>F204 + G204 + H204</f>
        <v>0</v>
      </c>
      <c r="F204" s="57">
        <f>D204 * 0.1140095333</f>
        <v>0</v>
      </c>
      <c r="G204" s="57">
        <f>D204 * 0.0001709933</f>
        <v>0</v>
      </c>
      <c r="H204" s="57">
        <f>D204 * 0.0016183293</f>
        <v>0</v>
      </c>
      <c r="P204" s="64" t="s">
        <v>1205</v>
      </c>
    </row>
    <row r="205" spans="1:16" x14ac:dyDescent="0.25">
      <c r="A205" s="95"/>
      <c r="B205" s="52" t="s">
        <v>634</v>
      </c>
      <c r="C205" s="52" t="s">
        <v>626</v>
      </c>
      <c r="D205" s="50"/>
      <c r="E205" s="56">
        <f>F205 + G205 + H205</f>
        <v>0</v>
      </c>
      <c r="F205" s="57">
        <f>D205 * 0.1154443205</f>
        <v>0</v>
      </c>
      <c r="G205" s="57">
        <f>D205 * 0.0001731452</f>
        <v>0</v>
      </c>
      <c r="H205" s="57">
        <f>D205 * 0.0016386956</f>
        <v>0</v>
      </c>
      <c r="P205" s="64" t="s">
        <v>1206</v>
      </c>
    </row>
    <row r="206" spans="1:16" x14ac:dyDescent="0.25">
      <c r="A206" s="95"/>
      <c r="B206" s="94" t="s">
        <v>699</v>
      </c>
      <c r="C206" s="94"/>
      <c r="D206" s="94"/>
      <c r="E206" s="94"/>
      <c r="F206" s="94"/>
      <c r="G206" s="94"/>
      <c r="H206" s="94"/>
    </row>
    <row r="207" spans="1:16" x14ac:dyDescent="0.25">
      <c r="A207" s="95"/>
      <c r="B207" s="52" t="s">
        <v>625</v>
      </c>
      <c r="C207" s="52" t="s">
        <v>626</v>
      </c>
      <c r="D207" s="50"/>
      <c r="E207" s="56">
        <f>F207 + G207 + H207</f>
        <v>0</v>
      </c>
      <c r="F207" s="57">
        <f>D207 * 0.0072361827</f>
        <v>0</v>
      </c>
      <c r="G207" s="57">
        <f>D207 * 0.0002677944</f>
        <v>0</v>
      </c>
      <c r="H207" s="57">
        <f>D207 * 0.0000078339</f>
        <v>0</v>
      </c>
      <c r="P207" s="64" t="s">
        <v>1207</v>
      </c>
    </row>
    <row r="208" spans="1:16" x14ac:dyDescent="0.25">
      <c r="A208" s="95"/>
      <c r="B208" s="52" t="s">
        <v>1059</v>
      </c>
      <c r="C208" s="52" t="s">
        <v>626</v>
      </c>
      <c r="D208" s="50"/>
      <c r="E208" s="56">
        <f>F208 + G208 + H208</f>
        <v>0</v>
      </c>
      <c r="F208" s="57">
        <f>D208 * 0.0069501133</f>
        <v>0</v>
      </c>
      <c r="G208" s="57">
        <f>D208 * 0.0002572077</f>
        <v>0</v>
      </c>
      <c r="H208" s="57">
        <f>D208 * 0.0000075242</f>
        <v>0</v>
      </c>
      <c r="P208" s="64" t="s">
        <v>1208</v>
      </c>
    </row>
    <row r="209" spans="1:16" x14ac:dyDescent="0.25">
      <c r="A209" s="95"/>
      <c r="B209" s="52" t="s">
        <v>1061</v>
      </c>
      <c r="C209" s="52" t="s">
        <v>626</v>
      </c>
      <c r="D209" s="50"/>
      <c r="E209" s="56">
        <f>F209 + G209 + H209</f>
        <v>0</v>
      </c>
      <c r="F209" s="57">
        <f>D209 * 0.0076151712</f>
        <v>0</v>
      </c>
      <c r="G209" s="57">
        <f>D209 * 0.0002818199</f>
        <v>0</v>
      </c>
      <c r="H209" s="57">
        <f>D209 * 0.0000082442</f>
        <v>0</v>
      </c>
      <c r="P209" s="64" t="s">
        <v>1209</v>
      </c>
    </row>
    <row r="210" spans="1:16" x14ac:dyDescent="0.25">
      <c r="A210" s="95"/>
      <c r="B210" s="52" t="s">
        <v>1063</v>
      </c>
      <c r="C210" s="52" t="s">
        <v>626</v>
      </c>
      <c r="D210" s="50"/>
      <c r="E210" s="56">
        <f>F210 + G210 + H210</f>
        <v>0</v>
      </c>
      <c r="F210" s="57">
        <f>D210 * 0.0086192677</f>
        <v>0</v>
      </c>
      <c r="G210" s="57">
        <f>D210 * 0.0003189792</f>
        <v>0</v>
      </c>
      <c r="H210" s="57">
        <f>D210 * 0.0000093312</f>
        <v>0</v>
      </c>
      <c r="P210" s="64" t="s">
        <v>1210</v>
      </c>
    </row>
    <row r="211" spans="1:16" x14ac:dyDescent="0.25">
      <c r="A211" s="95"/>
      <c r="B211" s="52" t="s">
        <v>634</v>
      </c>
      <c r="C211" s="52" t="s">
        <v>626</v>
      </c>
      <c r="D211" s="50"/>
      <c r="E211" s="56">
        <f>F211 + G211 + H211</f>
        <v>0</v>
      </c>
      <c r="F211" s="57">
        <f>D211 * 0.0101943437</f>
        <v>0</v>
      </c>
      <c r="G211" s="57">
        <f>D211 * 0.0003772692</f>
        <v>0</v>
      </c>
      <c r="H211" s="57">
        <f>D211 * 0.0000110364</f>
        <v>0</v>
      </c>
      <c r="P211" s="64" t="s">
        <v>1211</v>
      </c>
    </row>
    <row r="212" spans="1:16" x14ac:dyDescent="0.25">
      <c r="A212" s="95"/>
      <c r="B212" s="94" t="s">
        <v>705</v>
      </c>
      <c r="C212" s="94"/>
      <c r="D212" s="94"/>
      <c r="E212" s="94"/>
      <c r="F212" s="94"/>
      <c r="G212" s="94"/>
      <c r="H212" s="94"/>
    </row>
    <row r="213" spans="1:16" x14ac:dyDescent="0.25">
      <c r="A213" s="95"/>
      <c r="B213" s="52" t="s">
        <v>625</v>
      </c>
      <c r="C213" s="52" t="s">
        <v>626</v>
      </c>
      <c r="D213" s="50"/>
      <c r="E213" s="56">
        <f>F213 + G213 + H213</f>
        <v>0</v>
      </c>
      <c r="F213" s="57">
        <f>D213 * 0.0149662247</f>
        <v>0</v>
      </c>
      <c r="G213" s="57">
        <f>D213 * 0.0005538655</f>
        <v>0</v>
      </c>
      <c r="H213" s="57">
        <f>D213 * 0.0000162025</f>
        <v>0</v>
      </c>
      <c r="P213" s="64" t="s">
        <v>1212</v>
      </c>
    </row>
    <row r="214" spans="1:16" x14ac:dyDescent="0.25">
      <c r="A214" s="95"/>
      <c r="B214" s="52" t="s">
        <v>1059</v>
      </c>
      <c r="C214" s="52" t="s">
        <v>626</v>
      </c>
      <c r="D214" s="50"/>
      <c r="E214" s="56">
        <f>F214 + G214 + H214</f>
        <v>0</v>
      </c>
      <c r="F214" s="57">
        <f>D214 * 0.0160699837</f>
        <v>0</v>
      </c>
      <c r="G214" s="57">
        <f>D214 * 0.0005947131</f>
        <v>0</v>
      </c>
      <c r="H214" s="57">
        <f>D214 * 0.0000173974</f>
        <v>0</v>
      </c>
      <c r="P214" s="64" t="s">
        <v>1213</v>
      </c>
    </row>
    <row r="215" spans="1:16" x14ac:dyDescent="0.25">
      <c r="A215" s="95"/>
      <c r="B215" s="52" t="s">
        <v>1061</v>
      </c>
      <c r="C215" s="52" t="s">
        <v>626</v>
      </c>
      <c r="D215" s="50"/>
      <c r="E215" s="56">
        <f>F215 + G215 + H215</f>
        <v>0</v>
      </c>
      <c r="F215" s="57">
        <f>D215 * 0.0181812964</f>
        <v>0</v>
      </c>
      <c r="G215" s="57">
        <f>D215 * 0.0006728479</f>
        <v>0</v>
      </c>
      <c r="H215" s="57">
        <f>D215 * 0.0000196831</f>
        <v>0</v>
      </c>
      <c r="P215" s="64" t="s">
        <v>1214</v>
      </c>
    </row>
    <row r="216" spans="1:16" x14ac:dyDescent="0.25">
      <c r="A216" s="95"/>
      <c r="B216" s="52" t="s">
        <v>1063</v>
      </c>
      <c r="C216" s="52" t="s">
        <v>626</v>
      </c>
      <c r="D216" s="50"/>
      <c r="E216" s="56">
        <f>F216 + G216 + H216</f>
        <v>0</v>
      </c>
      <c r="F216" s="57">
        <f>D216 * 0.0223926288</f>
        <v>0</v>
      </c>
      <c r="G216" s="57">
        <f>D216 * 0.0008286996</f>
        <v>0</v>
      </c>
      <c r="H216" s="57">
        <f>D216 * 0.0000242423</f>
        <v>0</v>
      </c>
      <c r="P216" s="64" t="s">
        <v>1215</v>
      </c>
    </row>
    <row r="217" spans="1:16" x14ac:dyDescent="0.25">
      <c r="A217" s="95"/>
      <c r="B217" s="52" t="s">
        <v>634</v>
      </c>
      <c r="C217" s="52" t="s">
        <v>626</v>
      </c>
      <c r="D217" s="50"/>
      <c r="E217" s="56">
        <f>F217 + G217 + H217</f>
        <v>0</v>
      </c>
      <c r="F217" s="57">
        <f>D217 * 0.0261756039</f>
        <v>0</v>
      </c>
      <c r="G217" s="57">
        <f>D217 * 0.0009686988</f>
        <v>0</v>
      </c>
      <c r="H217" s="57">
        <f>D217 * 0.0000283378</f>
        <v>0</v>
      </c>
      <c r="P217" s="64" t="s">
        <v>1216</v>
      </c>
    </row>
    <row r="218" spans="1:16" x14ac:dyDescent="0.25">
      <c r="D218" s="65" t="s">
        <v>116</v>
      </c>
      <c r="E218" s="56">
        <f>SUM(E164:E217)</f>
        <v>0</v>
      </c>
      <c r="F218" s="57">
        <f>SUM(F164:F217)</f>
        <v>0</v>
      </c>
      <c r="G218" s="57">
        <f>SUM(G164:G217)</f>
        <v>0</v>
      </c>
      <c r="H218" s="57">
        <f>SUM(H164:H217)</f>
        <v>0</v>
      </c>
    </row>
    <row r="220" spans="1:16" x14ac:dyDescent="0.25">
      <c r="A220" s="92" t="s">
        <v>1217</v>
      </c>
      <c r="B220" s="92"/>
      <c r="C220" s="92"/>
      <c r="D220" s="92"/>
      <c r="E220" s="92"/>
      <c r="F220" s="92"/>
      <c r="G220" s="92"/>
      <c r="H220" s="92"/>
    </row>
    <row r="221" spans="1:16" x14ac:dyDescent="0.25">
      <c r="A221" s="93" t="s">
        <v>60</v>
      </c>
      <c r="B221" s="93"/>
      <c r="C221" s="59" t="s">
        <v>61</v>
      </c>
      <c r="D221" s="60" t="s">
        <v>62</v>
      </c>
      <c r="E221" s="58" t="s">
        <v>63</v>
      </c>
      <c r="F221" s="58" t="s">
        <v>64</v>
      </c>
      <c r="G221" s="58" t="s">
        <v>65</v>
      </c>
      <c r="H221" s="58" t="s">
        <v>66</v>
      </c>
      <c r="P221" s="61" t="s">
        <v>68</v>
      </c>
    </row>
    <row r="222" spans="1:16" x14ac:dyDescent="0.25">
      <c r="A222" s="102" t="s">
        <v>819</v>
      </c>
      <c r="B222" s="103" t="s">
        <v>819</v>
      </c>
      <c r="C222" s="52" t="s">
        <v>626</v>
      </c>
      <c r="D222" s="50"/>
      <c r="E222" s="56">
        <f>F222 + G222 + H222</f>
        <v>0</v>
      </c>
      <c r="F222" s="57">
        <f>D222 * 0.3123313139</f>
        <v>0</v>
      </c>
      <c r="G222" s="57">
        <f>D222 * 0.0041597363</f>
        <v>0</v>
      </c>
      <c r="H222" s="57">
        <f>D222 * 0.0095439837</f>
        <v>0</v>
      </c>
      <c r="P222" s="64" t="s">
        <v>1218</v>
      </c>
    </row>
    <row r="223" spans="1:16" x14ac:dyDescent="0.25">
      <c r="A223" s="102" t="s">
        <v>89</v>
      </c>
      <c r="B223" s="103" t="s">
        <v>89</v>
      </c>
      <c r="C223" s="52" t="s">
        <v>626</v>
      </c>
      <c r="D223" s="50"/>
      <c r="E223" s="56">
        <f>F223 + G223 + H223</f>
        <v>0</v>
      </c>
      <c r="F223" s="57">
        <f>D223 * 0.3005281261</f>
        <v>0</v>
      </c>
      <c r="G223" s="57">
        <f>D223 * 0.0004507368</f>
        <v>0</v>
      </c>
      <c r="H223" s="57">
        <f>D223 * 0.0042659017</f>
        <v>0</v>
      </c>
      <c r="P223" s="64" t="s">
        <v>1219</v>
      </c>
    </row>
    <row r="224" spans="1:16" x14ac:dyDescent="0.25">
      <c r="A224" s="102" t="s">
        <v>1220</v>
      </c>
      <c r="B224" s="103" t="s">
        <v>1220</v>
      </c>
      <c r="C224" s="52" t="s">
        <v>626</v>
      </c>
      <c r="D224" s="50"/>
      <c r="E224" s="56">
        <f>F224 + G224 + H224</f>
        <v>0</v>
      </c>
      <c r="F224" s="57">
        <f>D224 * 0.2465773531</f>
        <v>0</v>
      </c>
      <c r="G224" s="57">
        <f>D224 * 0.0032840023</f>
        <v>0</v>
      </c>
      <c r="H224" s="57">
        <f>D224 * 0.007534724</f>
        <v>0</v>
      </c>
      <c r="P224" s="64" t="s">
        <v>1221</v>
      </c>
    </row>
    <row r="225" spans="1:16" x14ac:dyDescent="0.25">
      <c r="A225" s="102" t="s">
        <v>1222</v>
      </c>
      <c r="B225" s="103" t="s">
        <v>1222</v>
      </c>
      <c r="C225" s="52" t="s">
        <v>626</v>
      </c>
      <c r="D225" s="50"/>
      <c r="E225" s="56">
        <f>F225 + G225 + H225</f>
        <v>0</v>
      </c>
      <c r="F225" s="57">
        <f>D225 * 0.2694019987</f>
        <v>0</v>
      </c>
      <c r="G225" s="57">
        <f>D225 * 0.0004040533</f>
        <v>0</v>
      </c>
      <c r="H225" s="57">
        <f>D225 * 0.0038240762</f>
        <v>0</v>
      </c>
      <c r="P225" s="64" t="s">
        <v>1223</v>
      </c>
    </row>
    <row r="226" spans="1:16" x14ac:dyDescent="0.25">
      <c r="D226" s="65" t="s">
        <v>116</v>
      </c>
      <c r="E226" s="56">
        <f>SUM(E222:E225)</f>
        <v>0</v>
      </c>
      <c r="F226" s="57">
        <f>SUM(F222:F225)</f>
        <v>0</v>
      </c>
      <c r="G226" s="57">
        <f>SUM(G222:G225)</f>
        <v>0</v>
      </c>
      <c r="H226" s="57">
        <f>SUM(H222:H225)</f>
        <v>0</v>
      </c>
    </row>
    <row r="228" spans="1:16" x14ac:dyDescent="0.25">
      <c r="A228" s="92" t="s">
        <v>1224</v>
      </c>
      <c r="B228" s="92"/>
      <c r="C228" s="92"/>
      <c r="D228" s="92"/>
      <c r="E228" s="92"/>
      <c r="F228" s="92"/>
      <c r="G228" s="92"/>
      <c r="H228" s="92"/>
    </row>
    <row r="229" spans="1:16" x14ac:dyDescent="0.25">
      <c r="A229" s="93" t="s">
        <v>623</v>
      </c>
      <c r="B229" s="93"/>
      <c r="C229" s="59" t="s">
        <v>61</v>
      </c>
      <c r="D229" s="60" t="s">
        <v>62</v>
      </c>
      <c r="E229" s="58" t="s">
        <v>63</v>
      </c>
      <c r="F229" s="58" t="s">
        <v>64</v>
      </c>
      <c r="G229" s="58" t="s">
        <v>65</v>
      </c>
      <c r="H229" s="58" t="s">
        <v>66</v>
      </c>
      <c r="P229" s="61" t="s">
        <v>68</v>
      </c>
    </row>
    <row r="230" spans="1:16" x14ac:dyDescent="0.25">
      <c r="A230" s="95" t="s">
        <v>60</v>
      </c>
      <c r="B230" s="94" t="s">
        <v>1225</v>
      </c>
      <c r="C230" s="94"/>
      <c r="D230" s="94"/>
      <c r="E230" s="94"/>
      <c r="F230" s="94"/>
      <c r="G230" s="94"/>
      <c r="H230" s="94"/>
    </row>
    <row r="231" spans="1:16" x14ac:dyDescent="0.25">
      <c r="A231" s="95"/>
      <c r="B231" s="52" t="s">
        <v>1226</v>
      </c>
      <c r="C231" s="52" t="s">
        <v>626</v>
      </c>
      <c r="D231" s="50"/>
      <c r="E231" s="56">
        <f t="shared" ref="E231:E239" si="0">F231 + G231 + H231</f>
        <v>0</v>
      </c>
      <c r="F231" s="57">
        <f>D231 * 0.4365497416</f>
        <v>0</v>
      </c>
      <c r="G231" s="57">
        <f>D231 * 0.0006547441</f>
        <v>0</v>
      </c>
      <c r="H231" s="57">
        <f>D231 * 0.0061966855</f>
        <v>0</v>
      </c>
      <c r="P231" s="64" t="s">
        <v>1227</v>
      </c>
    </row>
    <row r="232" spans="1:16" x14ac:dyDescent="0.25">
      <c r="A232" s="95"/>
      <c r="B232" s="52" t="s">
        <v>1228</v>
      </c>
      <c r="C232" s="52" t="s">
        <v>626</v>
      </c>
      <c r="D232" s="50"/>
      <c r="E232" s="56">
        <f t="shared" si="0"/>
        <v>0</v>
      </c>
      <c r="F232" s="57">
        <f>D232 * 0.5000814371</f>
        <v>0</v>
      </c>
      <c r="G232" s="57">
        <f>D232 * 0.00075003</f>
        <v>0</v>
      </c>
      <c r="H232" s="57">
        <f>D232 * 0.0070984979</f>
        <v>0</v>
      </c>
      <c r="P232" s="64" t="s">
        <v>1229</v>
      </c>
    </row>
    <row r="233" spans="1:16" x14ac:dyDescent="0.25">
      <c r="A233" s="95"/>
      <c r="B233" s="52" t="s">
        <v>1230</v>
      </c>
      <c r="C233" s="52" t="s">
        <v>626</v>
      </c>
      <c r="D233" s="50"/>
      <c r="E233" s="56">
        <f t="shared" si="0"/>
        <v>0</v>
      </c>
      <c r="F233" s="57">
        <f>D233 * 0.6115914254</f>
        <v>0</v>
      </c>
      <c r="G233" s="57">
        <f>D233 * 0.0009172744</f>
        <v>0</v>
      </c>
      <c r="H233" s="57">
        <f>D233 * 0.0086813469</f>
        <v>0</v>
      </c>
      <c r="P233" s="64" t="s">
        <v>1231</v>
      </c>
    </row>
    <row r="234" spans="1:16" x14ac:dyDescent="0.25">
      <c r="A234" s="95"/>
      <c r="B234" s="52" t="s">
        <v>1232</v>
      </c>
      <c r="C234" s="52" t="s">
        <v>626</v>
      </c>
      <c r="D234" s="50"/>
      <c r="E234" s="56">
        <f t="shared" si="0"/>
        <v>0</v>
      </c>
      <c r="F234" s="57">
        <f>D234 * 0.7252103497</f>
        <v>0</v>
      </c>
      <c r="G234" s="57">
        <f>D234 * 0.0010876818</f>
        <v>0</v>
      </c>
      <c r="H234" s="57">
        <f>D234 * 0.0102941316</f>
        <v>0</v>
      </c>
      <c r="P234" s="64" t="s">
        <v>1233</v>
      </c>
    </row>
    <row r="235" spans="1:16" x14ac:dyDescent="0.25">
      <c r="A235" s="95"/>
      <c r="B235" s="52" t="s">
        <v>1234</v>
      </c>
      <c r="C235" s="52" t="s">
        <v>626</v>
      </c>
      <c r="D235" s="50"/>
      <c r="E235" s="56">
        <f t="shared" si="0"/>
        <v>0</v>
      </c>
      <c r="F235" s="57">
        <f>D235 * 0.8240667224</f>
        <v>0</v>
      </c>
      <c r="G235" s="57">
        <f>D235 * 0.0012359482</f>
        <v>0</v>
      </c>
      <c r="H235" s="57">
        <f>D235 * 0.0116973666</f>
        <v>0</v>
      </c>
      <c r="P235" s="64" t="s">
        <v>1235</v>
      </c>
    </row>
    <row r="236" spans="1:16" x14ac:dyDescent="0.25">
      <c r="A236" s="95"/>
      <c r="B236" s="52" t="s">
        <v>1236</v>
      </c>
      <c r="C236" s="52" t="s">
        <v>626</v>
      </c>
      <c r="D236" s="50"/>
      <c r="E236" s="56">
        <f t="shared" si="0"/>
        <v>0</v>
      </c>
      <c r="F236" s="57">
        <f>D236 * 0.9624656441</f>
        <v>0</v>
      </c>
      <c r="G236" s="57">
        <f>D236 * 0.001443521</f>
        <v>0</v>
      </c>
      <c r="H236" s="57">
        <f>D236 * 0.0136618955</f>
        <v>0</v>
      </c>
      <c r="P236" s="64" t="s">
        <v>1237</v>
      </c>
    </row>
    <row r="237" spans="1:16" x14ac:dyDescent="0.25">
      <c r="A237" s="95"/>
      <c r="B237" s="52" t="s">
        <v>1238</v>
      </c>
      <c r="C237" s="52" t="s">
        <v>626</v>
      </c>
      <c r="D237" s="50"/>
      <c r="E237" s="56">
        <f t="shared" si="0"/>
        <v>0</v>
      </c>
      <c r="F237" s="57">
        <f>D237 * 1.2814422065</f>
        <v>0</v>
      </c>
      <c r="G237" s="57">
        <f>D237 * 0.0019219271</f>
        <v>0</v>
      </c>
      <c r="H237" s="57">
        <f>D237 * 0.0181896669</f>
        <v>0</v>
      </c>
      <c r="P237" s="64" t="s">
        <v>1239</v>
      </c>
    </row>
    <row r="238" spans="1:16" x14ac:dyDescent="0.25">
      <c r="A238" s="95"/>
      <c r="B238" s="52" t="s">
        <v>1240</v>
      </c>
      <c r="C238" s="52" t="s">
        <v>626</v>
      </c>
      <c r="D238" s="50"/>
      <c r="E238" s="56">
        <f t="shared" si="0"/>
        <v>0</v>
      </c>
      <c r="F238" s="57">
        <f>D238 * 1.5099981401</f>
        <v>0</v>
      </c>
      <c r="G238" s="57">
        <f>D238 * 0.0022647188</f>
        <v>0</v>
      </c>
      <c r="H238" s="57">
        <f>D238 * 0.0214339461</f>
        <v>0</v>
      </c>
      <c r="P238" s="64" t="s">
        <v>1241</v>
      </c>
    </row>
    <row r="239" spans="1:16" x14ac:dyDescent="0.25">
      <c r="A239" s="95"/>
      <c r="B239" s="52" t="s">
        <v>1242</v>
      </c>
      <c r="C239" s="52" t="s">
        <v>626</v>
      </c>
      <c r="D239" s="50"/>
      <c r="E239" s="56">
        <f t="shared" si="0"/>
        <v>0</v>
      </c>
      <c r="F239" s="57">
        <f>D239 * 1.5099981401</f>
        <v>0</v>
      </c>
      <c r="G239" s="57">
        <f>D239 * 0.0022647188</f>
        <v>0</v>
      </c>
      <c r="H239" s="57">
        <f>D239 * 0.0214339461</f>
        <v>0</v>
      </c>
      <c r="P239" s="64" t="s">
        <v>1243</v>
      </c>
    </row>
    <row r="240" spans="1:16" x14ac:dyDescent="0.25">
      <c r="A240" s="95"/>
      <c r="B240" s="94" t="s">
        <v>1244</v>
      </c>
      <c r="C240" s="94"/>
      <c r="D240" s="94"/>
      <c r="E240" s="94"/>
      <c r="F240" s="94"/>
      <c r="G240" s="94"/>
      <c r="H240" s="94"/>
    </row>
    <row r="241" spans="1:16" x14ac:dyDescent="0.25">
      <c r="A241" s="95"/>
      <c r="B241" s="52" t="s">
        <v>1226</v>
      </c>
      <c r="C241" s="52" t="s">
        <v>626</v>
      </c>
      <c r="D241" s="50"/>
      <c r="E241" s="56">
        <f t="shared" ref="E241:E249" si="1">F241 + G241 + H241</f>
        <v>0</v>
      </c>
      <c r="F241" s="57">
        <f>D241 * 0.3519286866</f>
        <v>0</v>
      </c>
      <c r="G241" s="57">
        <f>D241 * 0.0005278282</f>
        <v>0</v>
      </c>
      <c r="H241" s="57">
        <f>D241 * 0.0049955164</f>
        <v>0</v>
      </c>
      <c r="P241" s="64" t="s">
        <v>1245</v>
      </c>
    </row>
    <row r="242" spans="1:16" x14ac:dyDescent="0.25">
      <c r="A242" s="95"/>
      <c r="B242" s="52" t="s">
        <v>1228</v>
      </c>
      <c r="C242" s="52" t="s">
        <v>626</v>
      </c>
      <c r="D242" s="50"/>
      <c r="E242" s="56">
        <f t="shared" si="1"/>
        <v>0</v>
      </c>
      <c r="F242" s="57">
        <f>D242 * 0.4030703834</f>
        <v>0</v>
      </c>
      <c r="G242" s="57">
        <f>D242 * 0.0006045313</f>
        <v>0</v>
      </c>
      <c r="H242" s="57">
        <f>D242 * 0.0057214566</f>
        <v>0</v>
      </c>
      <c r="P242" s="64" t="s">
        <v>1246</v>
      </c>
    </row>
    <row r="243" spans="1:16" x14ac:dyDescent="0.25">
      <c r="A243" s="95"/>
      <c r="B243" s="52" t="s">
        <v>1230</v>
      </c>
      <c r="C243" s="52" t="s">
        <v>626</v>
      </c>
      <c r="D243" s="50"/>
      <c r="E243" s="56">
        <f t="shared" si="1"/>
        <v>0</v>
      </c>
      <c r="F243" s="57">
        <f>D243 * 0.4929637783</f>
        <v>0</v>
      </c>
      <c r="G243" s="57">
        <f>D243 * 0.0007393548</f>
        <v>0</v>
      </c>
      <c r="H243" s="57">
        <f>D243 * 0.006997465</f>
        <v>0</v>
      </c>
      <c r="P243" s="64" t="s">
        <v>1247</v>
      </c>
    </row>
    <row r="244" spans="1:16" x14ac:dyDescent="0.25">
      <c r="A244" s="95"/>
      <c r="B244" s="52" t="s">
        <v>1232</v>
      </c>
      <c r="C244" s="52" t="s">
        <v>626</v>
      </c>
      <c r="D244" s="50"/>
      <c r="E244" s="56">
        <f t="shared" si="1"/>
        <v>0</v>
      </c>
      <c r="F244" s="57">
        <f>D244 * 0.5844388751</f>
        <v>0</v>
      </c>
      <c r="G244" s="57">
        <f>D244 * 0.0008765506</f>
        <v>0</v>
      </c>
      <c r="H244" s="57">
        <f>D244 * 0.008295925</f>
        <v>0</v>
      </c>
      <c r="P244" s="64" t="s">
        <v>1248</v>
      </c>
    </row>
    <row r="245" spans="1:16" x14ac:dyDescent="0.25">
      <c r="A245" s="95"/>
      <c r="B245" s="52" t="s">
        <v>1234</v>
      </c>
      <c r="C245" s="52" t="s">
        <v>626</v>
      </c>
      <c r="D245" s="50"/>
      <c r="E245" s="56">
        <f t="shared" si="1"/>
        <v>0</v>
      </c>
      <c r="F245" s="57">
        <f>D245 * 0.6640512072</f>
        <v>0</v>
      </c>
      <c r="G245" s="57">
        <f>D245 * 0.0009959544</f>
        <v>0</v>
      </c>
      <c r="H245" s="57">
        <f>D245 * 0.0094259969</f>
        <v>0</v>
      </c>
      <c r="P245" s="64" t="s">
        <v>1249</v>
      </c>
    </row>
    <row r="246" spans="1:16" x14ac:dyDescent="0.25">
      <c r="A246" s="95"/>
      <c r="B246" s="52" t="s">
        <v>1236</v>
      </c>
      <c r="C246" s="52" t="s">
        <v>626</v>
      </c>
      <c r="D246" s="50"/>
      <c r="E246" s="56">
        <f t="shared" si="1"/>
        <v>0</v>
      </c>
      <c r="F246" s="57">
        <f>D246 * 0.8749448022</f>
        <v>0</v>
      </c>
      <c r="G246" s="57">
        <f>D246 * 0.0013122559</f>
        <v>0</v>
      </c>
      <c r="H246" s="57">
        <f>D246 * 0.0124195648</f>
        <v>0</v>
      </c>
      <c r="P246" s="64" t="s">
        <v>1250</v>
      </c>
    </row>
    <row r="247" spans="1:16" x14ac:dyDescent="0.25">
      <c r="A247" s="95"/>
      <c r="B247" s="52" t="s">
        <v>1238</v>
      </c>
      <c r="C247" s="52" t="s">
        <v>626</v>
      </c>
      <c r="D247" s="50"/>
      <c r="E247" s="56">
        <f t="shared" si="1"/>
        <v>0</v>
      </c>
      <c r="F247" s="57">
        <f>D247 * 1.1646598783</f>
        <v>0</v>
      </c>
      <c r="G247" s="57">
        <f>D247 * 0.0017467751</f>
        <v>0</v>
      </c>
      <c r="H247" s="57">
        <f>D247 * 0.0165319787</f>
        <v>0</v>
      </c>
      <c r="P247" s="64" t="s">
        <v>1251</v>
      </c>
    </row>
    <row r="248" spans="1:16" x14ac:dyDescent="0.25">
      <c r="A248" s="95"/>
      <c r="B248" s="52" t="s">
        <v>1240</v>
      </c>
      <c r="C248" s="52" t="s">
        <v>626</v>
      </c>
      <c r="D248" s="50"/>
      <c r="E248" s="56">
        <f t="shared" si="1"/>
        <v>0</v>
      </c>
      <c r="F248" s="57">
        <f>D248 * 1.344973902</f>
        <v>0</v>
      </c>
      <c r="G248" s="57">
        <f>D248 * 0.0020172129</f>
        <v>0</v>
      </c>
      <c r="H248" s="57">
        <f>D248 * 0.0190914793</f>
        <v>0</v>
      </c>
      <c r="P248" s="64" t="s">
        <v>1252</v>
      </c>
    </row>
    <row r="249" spans="1:16" x14ac:dyDescent="0.25">
      <c r="A249" s="95"/>
      <c r="B249" s="52" t="s">
        <v>1242</v>
      </c>
      <c r="C249" s="52" t="s">
        <v>626</v>
      </c>
      <c r="D249" s="50"/>
      <c r="E249" s="56">
        <f t="shared" si="1"/>
        <v>0</v>
      </c>
      <c r="F249" s="57">
        <f>D249 * 1.4169413413</f>
        <v>0</v>
      </c>
      <c r="G249" s="57">
        <f>D249 * 0.0021251508</f>
        <v>0</v>
      </c>
      <c r="H249" s="57">
        <f>D249 * 0.0201130343</f>
        <v>0</v>
      </c>
      <c r="P249" s="64" t="s">
        <v>1253</v>
      </c>
    </row>
    <row r="250" spans="1:16" x14ac:dyDescent="0.25">
      <c r="D250" s="65" t="s">
        <v>116</v>
      </c>
      <c r="E250" s="56">
        <f>SUM(E230:E249)</f>
        <v>0</v>
      </c>
      <c r="F250" s="57">
        <f>SUM(F230:F249)</f>
        <v>0</v>
      </c>
      <c r="G250" s="57">
        <f>SUM(G230:G249)</f>
        <v>0</v>
      </c>
      <c r="H250" s="57">
        <f>SUM(H230:H249)</f>
        <v>0</v>
      </c>
    </row>
    <row r="252" spans="1:16" x14ac:dyDescent="0.25">
      <c r="A252" s="92" t="s">
        <v>1224</v>
      </c>
      <c r="B252" s="92"/>
      <c r="C252" s="92"/>
      <c r="D252" s="92"/>
      <c r="E252" s="92"/>
      <c r="F252" s="92"/>
      <c r="G252" s="92"/>
      <c r="H252" s="92"/>
    </row>
    <row r="253" spans="1:16" x14ac:dyDescent="0.25">
      <c r="A253" s="93" t="s">
        <v>1081</v>
      </c>
      <c r="B253" s="93"/>
      <c r="C253" s="59" t="s">
        <v>61</v>
      </c>
      <c r="D253" s="60" t="s">
        <v>62</v>
      </c>
      <c r="E253" s="58" t="s">
        <v>63</v>
      </c>
      <c r="F253" s="58" t="s">
        <v>64</v>
      </c>
      <c r="G253" s="58" t="s">
        <v>65</v>
      </c>
      <c r="H253" s="58" t="s">
        <v>66</v>
      </c>
      <c r="P253" s="61" t="s">
        <v>68</v>
      </c>
    </row>
    <row r="254" spans="1:16" x14ac:dyDescent="0.25">
      <c r="A254" s="95" t="s">
        <v>60</v>
      </c>
      <c r="B254" s="94" t="s">
        <v>1225</v>
      </c>
      <c r="C254" s="94"/>
      <c r="D254" s="94"/>
      <c r="E254" s="94"/>
      <c r="F254" s="94"/>
      <c r="G254" s="94"/>
      <c r="H254" s="94"/>
    </row>
    <row r="255" spans="1:16" x14ac:dyDescent="0.25">
      <c r="A255" s="95"/>
      <c r="B255" s="52" t="s">
        <v>1226</v>
      </c>
      <c r="C255" s="52" t="s">
        <v>626</v>
      </c>
      <c r="D255" s="50"/>
      <c r="E255" s="56">
        <f t="shared" ref="E255:E263" si="2">F255 + G255 + H255</f>
        <v>0</v>
      </c>
      <c r="F255" s="57">
        <f>D255 * 0.4144059141</f>
        <v>0</v>
      </c>
      <c r="G255" s="57">
        <f>D255 * 0.0006215325</f>
        <v>0</v>
      </c>
      <c r="H255" s="57">
        <f>D255 * 0.0058823609</f>
        <v>0</v>
      </c>
      <c r="P255" s="64" t="s">
        <v>1254</v>
      </c>
    </row>
    <row r="256" spans="1:16" x14ac:dyDescent="0.25">
      <c r="A256" s="95"/>
      <c r="B256" s="52" t="s">
        <v>1228</v>
      </c>
      <c r="C256" s="52" t="s">
        <v>626</v>
      </c>
      <c r="D256" s="50"/>
      <c r="E256" s="56">
        <f t="shared" si="2"/>
        <v>0</v>
      </c>
      <c r="F256" s="57">
        <f>D256 * 0.4747742057</f>
        <v>0</v>
      </c>
      <c r="G256" s="57">
        <f>D256 * 0.0007120738</f>
        <v>0</v>
      </c>
      <c r="H256" s="57">
        <f>D256 * 0.0067392697</f>
        <v>0</v>
      </c>
      <c r="P256" s="64" t="s">
        <v>1255</v>
      </c>
    </row>
    <row r="257" spans="1:16" x14ac:dyDescent="0.25">
      <c r="A257" s="95"/>
      <c r="B257" s="52" t="s">
        <v>1230</v>
      </c>
      <c r="C257" s="52" t="s">
        <v>626</v>
      </c>
      <c r="D257" s="50"/>
      <c r="E257" s="56">
        <f t="shared" si="2"/>
        <v>0</v>
      </c>
      <c r="F257" s="57">
        <f>D257 * 0.5802210032</f>
        <v>0</v>
      </c>
      <c r="G257" s="57">
        <f>D257 * 0.0008702245</f>
        <v>0</v>
      </c>
      <c r="H257" s="57">
        <f>D257 * 0.0082360537</f>
        <v>0</v>
      </c>
      <c r="P257" s="64" t="s">
        <v>1256</v>
      </c>
    </row>
    <row r="258" spans="1:16" x14ac:dyDescent="0.25">
      <c r="A258" s="95"/>
      <c r="B258" s="52" t="s">
        <v>1232</v>
      </c>
      <c r="C258" s="52" t="s">
        <v>626</v>
      </c>
      <c r="D258" s="50"/>
      <c r="E258" s="56">
        <f t="shared" si="2"/>
        <v>0</v>
      </c>
      <c r="F258" s="57">
        <f>D258 * 0.6856678007</f>
        <v>0</v>
      </c>
      <c r="G258" s="57">
        <f>D258 * 0.0010283753</f>
        <v>0</v>
      </c>
      <c r="H258" s="57">
        <f>D258 * 0.0097328376</f>
        <v>0</v>
      </c>
      <c r="P258" s="64" t="s">
        <v>1257</v>
      </c>
    </row>
    <row r="259" spans="1:16" x14ac:dyDescent="0.25">
      <c r="A259" s="95"/>
      <c r="B259" s="52" t="s">
        <v>1234</v>
      </c>
      <c r="C259" s="52" t="s">
        <v>626</v>
      </c>
      <c r="D259" s="50"/>
      <c r="E259" s="56">
        <f t="shared" si="2"/>
        <v>0</v>
      </c>
      <c r="F259" s="57">
        <f>D259 * 0.7818880034</f>
        <v>0</v>
      </c>
      <c r="G259" s="57">
        <f>D259 * 0.0011726879</f>
        <v>0</v>
      </c>
      <c r="H259" s="57">
        <f>D259 * 0.011098653</f>
        <v>0</v>
      </c>
      <c r="P259" s="64" t="s">
        <v>1258</v>
      </c>
    </row>
    <row r="260" spans="1:16" x14ac:dyDescent="0.25">
      <c r="A260" s="95"/>
      <c r="B260" s="52" t="s">
        <v>1236</v>
      </c>
      <c r="C260" s="52" t="s">
        <v>626</v>
      </c>
      <c r="D260" s="50"/>
      <c r="E260" s="56">
        <f t="shared" si="2"/>
        <v>0</v>
      </c>
      <c r="F260" s="57">
        <f>D260 * 0.9382128807</f>
        <v>0</v>
      </c>
      <c r="G260" s="57">
        <f>D260 * 0.0014071464</f>
        <v>0</v>
      </c>
      <c r="H260" s="57">
        <f>D260 * 0.0133176352</f>
        <v>0</v>
      </c>
      <c r="P260" s="64" t="s">
        <v>1259</v>
      </c>
    </row>
    <row r="261" spans="1:16" x14ac:dyDescent="0.25">
      <c r="A261" s="95"/>
      <c r="B261" s="52" t="s">
        <v>1238</v>
      </c>
      <c r="C261" s="52" t="s">
        <v>626</v>
      </c>
      <c r="D261" s="50"/>
      <c r="E261" s="56">
        <f t="shared" si="2"/>
        <v>0</v>
      </c>
      <c r="F261" s="57">
        <f>D261 * 1.2487536993</f>
        <v>0</v>
      </c>
      <c r="G261" s="57">
        <f>D261 * 0.0018729003</f>
        <v>0</v>
      </c>
      <c r="H261" s="57">
        <f>D261 * 0.0177256639</f>
        <v>0</v>
      </c>
      <c r="P261" s="64" t="s">
        <v>1260</v>
      </c>
    </row>
    <row r="262" spans="1:16" x14ac:dyDescent="0.25">
      <c r="A262" s="95"/>
      <c r="B262" s="52" t="s">
        <v>1240</v>
      </c>
      <c r="C262" s="52" t="s">
        <v>626</v>
      </c>
      <c r="D262" s="50"/>
      <c r="E262" s="56">
        <f t="shared" si="2"/>
        <v>0</v>
      </c>
      <c r="F262" s="57">
        <f>D262 * 1.3945338968</f>
        <v>0</v>
      </c>
      <c r="G262" s="57">
        <f>D262 * 0.0020915438</f>
        <v>0</v>
      </c>
      <c r="H262" s="57">
        <f>D262 * 0.0197949677</f>
        <v>0</v>
      </c>
      <c r="P262" s="64" t="s">
        <v>1261</v>
      </c>
    </row>
    <row r="263" spans="1:16" x14ac:dyDescent="0.25">
      <c r="A263" s="95"/>
      <c r="B263" s="52" t="s">
        <v>1242</v>
      </c>
      <c r="C263" s="52" t="s">
        <v>626</v>
      </c>
      <c r="D263" s="50"/>
      <c r="E263" s="56">
        <f t="shared" si="2"/>
        <v>0</v>
      </c>
      <c r="F263" s="57">
        <f>D263 * 1.469137506</f>
        <v>0</v>
      </c>
      <c r="G263" s="57">
        <f>D263 * 0.0022034354</f>
        <v>0</v>
      </c>
      <c r="H263" s="57">
        <f>D263 * 0.0208539424</f>
        <v>0</v>
      </c>
      <c r="P263" s="64" t="s">
        <v>1262</v>
      </c>
    </row>
    <row r="264" spans="1:16" x14ac:dyDescent="0.25">
      <c r="A264" s="95"/>
      <c r="B264" s="94" t="s">
        <v>1244</v>
      </c>
      <c r="C264" s="94"/>
      <c r="D264" s="94"/>
      <c r="E264" s="94"/>
      <c r="F264" s="94"/>
      <c r="G264" s="94"/>
      <c r="H264" s="94"/>
    </row>
    <row r="265" spans="1:16" x14ac:dyDescent="0.25">
      <c r="A265" s="95"/>
      <c r="B265" s="52" t="s">
        <v>1226</v>
      </c>
      <c r="C265" s="52" t="s">
        <v>626</v>
      </c>
      <c r="D265" s="50"/>
      <c r="E265" s="56">
        <f t="shared" ref="E265:E273" si="3">F265 + G265 + H265</f>
        <v>0</v>
      </c>
      <c r="F265" s="57">
        <f>D265 * 0.3334754971</f>
        <v>0</v>
      </c>
      <c r="G265" s="57">
        <f>D265 * 0.0005001518</f>
        <v>0</v>
      </c>
      <c r="H265" s="57">
        <f>D265 * 0.0047335792</f>
        <v>0</v>
      </c>
      <c r="P265" s="64" t="s">
        <v>1263</v>
      </c>
    </row>
    <row r="266" spans="1:16" x14ac:dyDescent="0.25">
      <c r="A266" s="95"/>
      <c r="B266" s="52" t="s">
        <v>1228</v>
      </c>
      <c r="C266" s="52" t="s">
        <v>626</v>
      </c>
      <c r="D266" s="50"/>
      <c r="E266" s="56">
        <f t="shared" si="3"/>
        <v>0</v>
      </c>
      <c r="F266" s="57">
        <f>D266 * 0.3822446409</f>
        <v>0</v>
      </c>
      <c r="G266" s="57">
        <f>D266 * 0.0005732965</f>
        <v>0</v>
      </c>
      <c r="H266" s="57">
        <f>D266 * 0.0054258418</f>
        <v>0</v>
      </c>
      <c r="P266" s="64" t="s">
        <v>1264</v>
      </c>
    </row>
    <row r="267" spans="1:16" x14ac:dyDescent="0.25">
      <c r="A267" s="95"/>
      <c r="B267" s="52" t="s">
        <v>1230</v>
      </c>
      <c r="C267" s="52" t="s">
        <v>626</v>
      </c>
      <c r="D267" s="50"/>
      <c r="E267" s="56">
        <f t="shared" si="3"/>
        <v>0</v>
      </c>
      <c r="F267" s="57">
        <f>D267 * 0.4671293129</f>
        <v>0</v>
      </c>
      <c r="G267" s="57">
        <f>D267 * 0.0007006079</f>
        <v>0</v>
      </c>
      <c r="H267" s="57">
        <f>D267 * 0.0066307529</f>
        <v>0</v>
      </c>
      <c r="P267" s="64" t="s">
        <v>1265</v>
      </c>
    </row>
    <row r="268" spans="1:16" x14ac:dyDescent="0.25">
      <c r="A268" s="95"/>
      <c r="B268" s="52" t="s">
        <v>1232</v>
      </c>
      <c r="C268" s="52" t="s">
        <v>626</v>
      </c>
      <c r="D268" s="50"/>
      <c r="E268" s="56">
        <f t="shared" si="3"/>
        <v>0</v>
      </c>
      <c r="F268" s="57">
        <f>D268 * 0.5538593038</f>
        <v>0</v>
      </c>
      <c r="G268" s="57">
        <f>D268 * 0.0008306869</f>
        <v>0</v>
      </c>
      <c r="H268" s="57">
        <f>D268 * 0.0078618577</f>
        <v>0</v>
      </c>
      <c r="P268" s="64" t="s">
        <v>1266</v>
      </c>
    </row>
    <row r="269" spans="1:16" x14ac:dyDescent="0.25">
      <c r="A269" s="95"/>
      <c r="B269" s="52" t="s">
        <v>1234</v>
      </c>
      <c r="C269" s="52" t="s">
        <v>626</v>
      </c>
      <c r="D269" s="50"/>
      <c r="E269" s="56">
        <f t="shared" si="3"/>
        <v>0</v>
      </c>
      <c r="F269" s="57">
        <f>D269 * 0.629517381</f>
        <v>0</v>
      </c>
      <c r="G269" s="57">
        <f>D269 * 0.00094416</f>
        <v>0</v>
      </c>
      <c r="H269" s="57">
        <f>D269 * 0.0089358002</f>
        <v>0</v>
      </c>
      <c r="P269" s="64" t="s">
        <v>1267</v>
      </c>
    </row>
    <row r="270" spans="1:16" x14ac:dyDescent="0.25">
      <c r="A270" s="95"/>
      <c r="B270" s="52" t="s">
        <v>1236</v>
      </c>
      <c r="C270" s="52" t="s">
        <v>626</v>
      </c>
      <c r="D270" s="50"/>
      <c r="E270" s="56">
        <f t="shared" si="3"/>
        <v>0</v>
      </c>
      <c r="F270" s="57">
        <f>D270 * 0.8528009747</f>
        <v>0</v>
      </c>
      <c r="G270" s="57">
        <f>D270 * 0.0012790442</f>
        <v>0</v>
      </c>
      <c r="H270" s="57">
        <f>D270 * 0.0121052402</f>
        <v>0</v>
      </c>
      <c r="P270" s="64" t="s">
        <v>1268</v>
      </c>
    </row>
    <row r="271" spans="1:16" x14ac:dyDescent="0.25">
      <c r="A271" s="95"/>
      <c r="B271" s="52" t="s">
        <v>1238</v>
      </c>
      <c r="C271" s="52" t="s">
        <v>626</v>
      </c>
      <c r="D271" s="50"/>
      <c r="E271" s="56">
        <f t="shared" si="3"/>
        <v>0</v>
      </c>
      <c r="F271" s="57">
        <f>D271 * 1.135134775</f>
        <v>0</v>
      </c>
      <c r="G271" s="57">
        <f>D271 * 0.0017024929</f>
        <v>0</v>
      </c>
      <c r="H271" s="57">
        <f>D271 * 0.0161128792</f>
        <v>0</v>
      </c>
      <c r="P271" s="64" t="s">
        <v>1269</v>
      </c>
    </row>
    <row r="272" spans="1:16" x14ac:dyDescent="0.25">
      <c r="A272" s="95"/>
      <c r="B272" s="52" t="s">
        <v>1240</v>
      </c>
      <c r="C272" s="52" t="s">
        <v>626</v>
      </c>
      <c r="D272" s="50"/>
      <c r="E272" s="56">
        <f t="shared" si="3"/>
        <v>0</v>
      </c>
      <c r="F272" s="57">
        <f>D272 * 1.3107036928</f>
        <v>0</v>
      </c>
      <c r="G272" s="57">
        <f>D272 * 0.0019658139</f>
        <v>0</v>
      </c>
      <c r="H272" s="57">
        <f>D272 * 0.0186050245</f>
        <v>0</v>
      </c>
      <c r="P272" s="64" t="s">
        <v>1270</v>
      </c>
    </row>
    <row r="273" spans="1:16" x14ac:dyDescent="0.25">
      <c r="A273" s="95"/>
      <c r="B273" s="52" t="s">
        <v>1242</v>
      </c>
      <c r="C273" s="52" t="s">
        <v>626</v>
      </c>
      <c r="D273" s="50"/>
      <c r="E273" s="56">
        <f t="shared" si="3"/>
        <v>0</v>
      </c>
      <c r="F273" s="57">
        <f>D273 * 1.3808258131</f>
        <v>0</v>
      </c>
      <c r="G273" s="57">
        <f>D273 * 0.0020709842</f>
        <v>0</v>
      </c>
      <c r="H273" s="57">
        <f>D273 * 0.0196003858</f>
        <v>0</v>
      </c>
      <c r="P273" s="64" t="s">
        <v>1271</v>
      </c>
    </row>
    <row r="274" spans="1:16" x14ac:dyDescent="0.25">
      <c r="A274" s="95"/>
      <c r="B274" s="94" t="s">
        <v>1272</v>
      </c>
      <c r="C274" s="94"/>
      <c r="D274" s="94"/>
      <c r="E274" s="94"/>
      <c r="F274" s="94"/>
      <c r="G274" s="94"/>
      <c r="H274" s="94"/>
    </row>
    <row r="275" spans="1:16" x14ac:dyDescent="0.25">
      <c r="A275" s="95"/>
      <c r="B275" s="52" t="s">
        <v>1226</v>
      </c>
      <c r="C275" s="52" t="s">
        <v>626</v>
      </c>
      <c r="D275" s="50"/>
      <c r="E275" s="56">
        <f>F275 + G275 + H275</f>
        <v>0</v>
      </c>
      <c r="F275" s="57">
        <f>D275 * 0.0334419067</f>
        <v>0</v>
      </c>
      <c r="G275" s="57">
        <f>D275 * 0.0012376079</f>
        <v>0</v>
      </c>
      <c r="H275" s="57">
        <f>D275 * 0.0000362043</f>
        <v>0</v>
      </c>
      <c r="P275" s="64" t="s">
        <v>1273</v>
      </c>
    </row>
    <row r="276" spans="1:16" x14ac:dyDescent="0.25">
      <c r="A276" s="95"/>
      <c r="B276" s="52" t="s">
        <v>1228</v>
      </c>
      <c r="C276" s="52" t="s">
        <v>626</v>
      </c>
      <c r="D276" s="50"/>
      <c r="E276" s="56">
        <f>F276 + G276 + H276</f>
        <v>0</v>
      </c>
      <c r="F276" s="57">
        <f>D276 * 0.0383172815</f>
        <v>0</v>
      </c>
      <c r="G276" s="57">
        <f>D276 * 0.0014180343</f>
        <v>0</v>
      </c>
      <c r="H276" s="57">
        <f>D276 * 0.0000414824</f>
        <v>0</v>
      </c>
      <c r="P276" s="64" t="s">
        <v>1274</v>
      </c>
    </row>
    <row r="277" spans="1:16" x14ac:dyDescent="0.25">
      <c r="A277" s="95"/>
      <c r="B277" s="52" t="s">
        <v>1230</v>
      </c>
      <c r="C277" s="52" t="s">
        <v>626</v>
      </c>
      <c r="D277" s="50"/>
      <c r="E277" s="56">
        <f>F277 + G277 + H277</f>
        <v>0</v>
      </c>
      <c r="F277" s="57">
        <f>D277 * 0.0468473037</f>
        <v>0</v>
      </c>
      <c r="G277" s="57">
        <f>D277 * 0.0017337107</f>
        <v>0</v>
      </c>
      <c r="H277" s="57">
        <f>D277 * 0.000050717</f>
        <v>0</v>
      </c>
      <c r="P277" s="64" t="s">
        <v>1275</v>
      </c>
    </row>
    <row r="278" spans="1:16" x14ac:dyDescent="0.25">
      <c r="A278" s="95"/>
      <c r="B278" s="52" t="s">
        <v>1232</v>
      </c>
      <c r="C278" s="52" t="s">
        <v>626</v>
      </c>
      <c r="D278" s="50"/>
      <c r="E278" s="56">
        <f>F278 + G278 + H278</f>
        <v>0</v>
      </c>
      <c r="F278" s="57">
        <f>D278 * 0.055550639</f>
        <v>0</v>
      </c>
      <c r="G278" s="57">
        <f>D278 * 0.0020558011</f>
        <v>0</v>
      </c>
      <c r="H278" s="57">
        <f>D278 * 0.0000601392</f>
        <v>0</v>
      </c>
      <c r="P278" s="64" t="s">
        <v>1276</v>
      </c>
    </row>
    <row r="279" spans="1:16" x14ac:dyDescent="0.25">
      <c r="A279" s="95"/>
      <c r="B279" s="52" t="s">
        <v>1234</v>
      </c>
      <c r="C279" s="52" t="s">
        <v>626</v>
      </c>
      <c r="D279" s="50"/>
      <c r="E279" s="56">
        <f>F279 + G279 + H279</f>
        <v>0</v>
      </c>
      <c r="F279" s="57">
        <f>D279 * 0.063123671</f>
        <v>0</v>
      </c>
      <c r="G279" s="57">
        <f>D279 * 0.0023360616</f>
        <v>0</v>
      </c>
      <c r="H279" s="57">
        <f>D279 * 0.0000683378</f>
        <v>0</v>
      </c>
      <c r="P279" s="64" t="s">
        <v>1277</v>
      </c>
    </row>
    <row r="280" spans="1:16" x14ac:dyDescent="0.25">
      <c r="D280" s="65" t="s">
        <v>116</v>
      </c>
      <c r="E280" s="56">
        <f>SUM(E254:E279)</f>
        <v>0</v>
      </c>
      <c r="F280" s="57">
        <f>SUM(F254:F279)</f>
        <v>0</v>
      </c>
      <c r="G280" s="57">
        <f>SUM(G254:G279)</f>
        <v>0</v>
      </c>
      <c r="H280" s="57">
        <f>SUM(H254:H279)</f>
        <v>0</v>
      </c>
    </row>
    <row r="282" spans="1:16" x14ac:dyDescent="0.25">
      <c r="A282" s="92" t="s">
        <v>1224</v>
      </c>
      <c r="B282" s="92"/>
      <c r="C282" s="92"/>
      <c r="D282" s="92"/>
      <c r="E282" s="92"/>
      <c r="F282" s="92"/>
      <c r="G282" s="92"/>
      <c r="H282" s="92"/>
    </row>
    <row r="283" spans="1:16" x14ac:dyDescent="0.25">
      <c r="A283" s="93" t="s">
        <v>1278</v>
      </c>
      <c r="B283" s="93"/>
      <c r="C283" s="59" t="s">
        <v>61</v>
      </c>
      <c r="D283" s="60" t="s">
        <v>62</v>
      </c>
      <c r="E283" s="58" t="s">
        <v>63</v>
      </c>
      <c r="F283" s="58" t="s">
        <v>64</v>
      </c>
      <c r="G283" s="58" t="s">
        <v>65</v>
      </c>
      <c r="H283" s="58" t="s">
        <v>66</v>
      </c>
      <c r="P283" s="61" t="s">
        <v>68</v>
      </c>
    </row>
    <row r="284" spans="1:16" x14ac:dyDescent="0.25">
      <c r="A284" s="95" t="s">
        <v>60</v>
      </c>
      <c r="B284" s="94" t="s">
        <v>1225</v>
      </c>
      <c r="C284" s="94"/>
      <c r="D284" s="94"/>
      <c r="E284" s="94"/>
      <c r="F284" s="94"/>
      <c r="G284" s="94"/>
      <c r="H284" s="94"/>
    </row>
    <row r="285" spans="1:16" x14ac:dyDescent="0.25">
      <c r="A285" s="95"/>
      <c r="B285" s="52" t="s">
        <v>1226</v>
      </c>
      <c r="C285" s="52" t="s">
        <v>626</v>
      </c>
      <c r="D285" s="50"/>
      <c r="E285" s="56">
        <f t="shared" ref="E285:E293" si="4">F285 + G285 + H285</f>
        <v>0</v>
      </c>
      <c r="F285" s="57">
        <f>D285 * 0.4128242122</f>
        <v>0</v>
      </c>
      <c r="G285" s="57">
        <f>D285 * 0.0006191602</f>
        <v>0</v>
      </c>
      <c r="H285" s="57">
        <f>D285 * 0.0058599092</f>
        <v>0</v>
      </c>
      <c r="P285" s="64" t="s">
        <v>1279</v>
      </c>
    </row>
    <row r="286" spans="1:16" x14ac:dyDescent="0.25">
      <c r="A286" s="95"/>
      <c r="B286" s="52" t="s">
        <v>1228</v>
      </c>
      <c r="C286" s="52" t="s">
        <v>626</v>
      </c>
      <c r="D286" s="50"/>
      <c r="E286" s="56">
        <f t="shared" si="4"/>
        <v>0</v>
      </c>
      <c r="F286" s="57">
        <f>D286 * 0.4673929299</f>
        <v>0</v>
      </c>
      <c r="G286" s="57">
        <f>D286 * 0.0007010032</f>
        <v>0</v>
      </c>
      <c r="H286" s="57">
        <f>D286 * 0.0066344949</f>
        <v>0</v>
      </c>
      <c r="P286" s="64" t="s">
        <v>1280</v>
      </c>
    </row>
    <row r="287" spans="1:16" x14ac:dyDescent="0.25">
      <c r="A287" s="95"/>
      <c r="B287" s="52" t="s">
        <v>1230</v>
      </c>
      <c r="C287" s="52" t="s">
        <v>626</v>
      </c>
      <c r="D287" s="50"/>
      <c r="E287" s="56">
        <f t="shared" si="4"/>
        <v>0</v>
      </c>
      <c r="F287" s="57">
        <f>D287 * 0.5715216424</f>
        <v>0</v>
      </c>
      <c r="G287" s="57">
        <f>D287 * 0.0008571771</f>
        <v>0</v>
      </c>
      <c r="H287" s="57">
        <f>D287 * 0.008112569</f>
        <v>0</v>
      </c>
      <c r="P287" s="64" t="s">
        <v>1281</v>
      </c>
    </row>
    <row r="288" spans="1:16" x14ac:dyDescent="0.25">
      <c r="A288" s="95"/>
      <c r="B288" s="52" t="s">
        <v>1232</v>
      </c>
      <c r="C288" s="52" t="s">
        <v>626</v>
      </c>
      <c r="D288" s="50"/>
      <c r="E288" s="56">
        <f t="shared" si="4"/>
        <v>0</v>
      </c>
      <c r="F288" s="57">
        <f>D288 * 0.6777592909</f>
        <v>0</v>
      </c>
      <c r="G288" s="57">
        <f>D288 * 0.001016514</f>
        <v>0</v>
      </c>
      <c r="H288" s="57">
        <f>D288 * 0.0096205788</f>
        <v>0</v>
      </c>
      <c r="P288" s="64" t="s">
        <v>1282</v>
      </c>
    </row>
    <row r="289" spans="1:16" x14ac:dyDescent="0.25">
      <c r="A289" s="95"/>
      <c r="B289" s="52" t="s">
        <v>1234</v>
      </c>
      <c r="C289" s="52" t="s">
        <v>626</v>
      </c>
      <c r="D289" s="50"/>
      <c r="E289" s="56">
        <f t="shared" si="4"/>
        <v>0</v>
      </c>
      <c r="F289" s="57">
        <f>D289 * 0.7702888557</f>
        <v>0</v>
      </c>
      <c r="G289" s="57">
        <f>D289 * 0.0011552913</f>
        <v>0</v>
      </c>
      <c r="H289" s="57">
        <f>D289 * 0.0109340067</f>
        <v>0</v>
      </c>
      <c r="P289" s="64" t="s">
        <v>1283</v>
      </c>
    </row>
    <row r="290" spans="1:16" x14ac:dyDescent="0.25">
      <c r="A290" s="95"/>
      <c r="B290" s="52" t="s">
        <v>1236</v>
      </c>
      <c r="C290" s="52" t="s">
        <v>626</v>
      </c>
      <c r="D290" s="50"/>
      <c r="E290" s="56">
        <f t="shared" si="4"/>
        <v>0</v>
      </c>
      <c r="F290" s="57">
        <f>D290 * 0.9358403277</f>
        <v>0</v>
      </c>
      <c r="G290" s="57">
        <f>D290 * 0.001403588</f>
        <v>0</v>
      </c>
      <c r="H290" s="57">
        <f>D290 * 0.0132839575</f>
        <v>0</v>
      </c>
      <c r="P290" s="64" t="s">
        <v>1284</v>
      </c>
    </row>
    <row r="291" spans="1:16" x14ac:dyDescent="0.25">
      <c r="A291" s="95"/>
      <c r="B291" s="52" t="s">
        <v>1238</v>
      </c>
      <c r="C291" s="52" t="s">
        <v>626</v>
      </c>
      <c r="D291" s="50"/>
      <c r="E291" s="56">
        <f t="shared" si="4"/>
        <v>0</v>
      </c>
      <c r="F291" s="57">
        <f>D291 * 1.2458539124</f>
        <v>0</v>
      </c>
      <c r="G291" s="57">
        <f>D291 * 0.0018685512</f>
        <v>0</v>
      </c>
      <c r="H291" s="57">
        <f>D291 * 0.0176845024</f>
        <v>0</v>
      </c>
      <c r="P291" s="64" t="s">
        <v>1285</v>
      </c>
    </row>
    <row r="292" spans="1:16" x14ac:dyDescent="0.25">
      <c r="A292" s="95"/>
      <c r="B292" s="52" t="s">
        <v>1240</v>
      </c>
      <c r="C292" s="52" t="s">
        <v>626</v>
      </c>
      <c r="D292" s="50"/>
      <c r="E292" s="56">
        <f t="shared" si="4"/>
        <v>0</v>
      </c>
      <c r="F292" s="57">
        <f>D292 * 1.3911068759</f>
        <v>0</v>
      </c>
      <c r="G292" s="57">
        <f>D292 * 0.0020864039</f>
        <v>0</v>
      </c>
      <c r="H292" s="57">
        <f>D292 * 0.0197463222</f>
        <v>0</v>
      </c>
      <c r="P292" s="64" t="s">
        <v>1286</v>
      </c>
    </row>
    <row r="293" spans="1:16" x14ac:dyDescent="0.25">
      <c r="A293" s="95"/>
      <c r="B293" s="52" t="s">
        <v>1242</v>
      </c>
      <c r="C293" s="52" t="s">
        <v>626</v>
      </c>
      <c r="D293" s="50"/>
      <c r="E293" s="56">
        <f t="shared" si="4"/>
        <v>0</v>
      </c>
      <c r="F293" s="57">
        <f>D293 * 1.4657104851</f>
        <v>0</v>
      </c>
      <c r="G293" s="57">
        <f>D293 * 0.0021982955</f>
        <v>0</v>
      </c>
      <c r="H293" s="57">
        <f>D293 * 0.0208052969</f>
        <v>0</v>
      </c>
      <c r="P293" s="64" t="s">
        <v>1287</v>
      </c>
    </row>
    <row r="294" spans="1:16" x14ac:dyDescent="0.25">
      <c r="A294" s="95"/>
      <c r="B294" s="94" t="s">
        <v>1244</v>
      </c>
      <c r="C294" s="94"/>
      <c r="D294" s="94"/>
      <c r="E294" s="94"/>
      <c r="F294" s="94"/>
      <c r="G294" s="94"/>
      <c r="H294" s="94"/>
    </row>
    <row r="295" spans="1:16" x14ac:dyDescent="0.25">
      <c r="A295" s="95"/>
      <c r="B295" s="52" t="s">
        <v>1226</v>
      </c>
      <c r="C295" s="52" t="s">
        <v>626</v>
      </c>
      <c r="D295" s="50"/>
      <c r="E295" s="56">
        <f t="shared" ref="E295:E303" si="5">F295 + G295 + H295</f>
        <v>0</v>
      </c>
      <c r="F295" s="57">
        <f>D295 * 0.3253033703</f>
        <v>0</v>
      </c>
      <c r="G295" s="57">
        <f>D295 * 0.0004878951</f>
        <v>0</v>
      </c>
      <c r="H295" s="57">
        <f>D295 * 0.0046175785</f>
        <v>0</v>
      </c>
      <c r="P295" s="64" t="s">
        <v>1288</v>
      </c>
    </row>
    <row r="296" spans="1:16" x14ac:dyDescent="0.25">
      <c r="A296" s="95"/>
      <c r="B296" s="52" t="s">
        <v>1228</v>
      </c>
      <c r="C296" s="52" t="s">
        <v>626</v>
      </c>
      <c r="D296" s="50"/>
      <c r="E296" s="56">
        <f t="shared" si="5"/>
        <v>0</v>
      </c>
      <c r="F296" s="57">
        <f>D296 * 0.3727544291</f>
        <v>0</v>
      </c>
      <c r="G296" s="57">
        <f>D296 * 0.0005590629</f>
        <v>0</v>
      </c>
      <c r="H296" s="57">
        <f>D296 * 0.0052911313</f>
        <v>0</v>
      </c>
      <c r="P296" s="64" t="s">
        <v>1289</v>
      </c>
    </row>
    <row r="297" spans="1:16" x14ac:dyDescent="0.25">
      <c r="A297" s="95"/>
      <c r="B297" s="52" t="s">
        <v>1230</v>
      </c>
      <c r="C297" s="52" t="s">
        <v>626</v>
      </c>
      <c r="D297" s="50"/>
      <c r="E297" s="56">
        <f t="shared" si="5"/>
        <v>0</v>
      </c>
      <c r="F297" s="57">
        <f>D297 * 0.4557937822</f>
        <v>0</v>
      </c>
      <c r="G297" s="57">
        <f>D297 * 0.0006836066</f>
        <v>0</v>
      </c>
      <c r="H297" s="57">
        <f>D297 * 0.0064698486</f>
        <v>0</v>
      </c>
      <c r="P297" s="64" t="s">
        <v>1290</v>
      </c>
    </row>
    <row r="298" spans="1:16" x14ac:dyDescent="0.25">
      <c r="A298" s="95"/>
      <c r="B298" s="52" t="s">
        <v>1232</v>
      </c>
      <c r="C298" s="52" t="s">
        <v>626</v>
      </c>
      <c r="D298" s="50"/>
      <c r="E298" s="56">
        <f t="shared" si="5"/>
        <v>0</v>
      </c>
      <c r="F298" s="57">
        <f>D298 * 0.5404148371</f>
        <v>0</v>
      </c>
      <c r="G298" s="57">
        <f>D298 * 0.0008105226</f>
        <v>0</v>
      </c>
      <c r="H298" s="57">
        <f>D298 * 0.0076710177</f>
        <v>0</v>
      </c>
      <c r="P298" s="64" t="s">
        <v>1291</v>
      </c>
    </row>
    <row r="299" spans="1:16" x14ac:dyDescent="0.25">
      <c r="A299" s="95"/>
      <c r="B299" s="52" t="s">
        <v>1234</v>
      </c>
      <c r="C299" s="52" t="s">
        <v>626</v>
      </c>
      <c r="D299" s="50"/>
      <c r="E299" s="56">
        <f t="shared" si="5"/>
        <v>0</v>
      </c>
      <c r="F299" s="57">
        <f>D299 * 0.6142275954</f>
        <v>0</v>
      </c>
      <c r="G299" s="57">
        <f>D299 * 0.0009212282</f>
        <v>0</v>
      </c>
      <c r="H299" s="57">
        <f>D299 * 0.0087187665</f>
        <v>0</v>
      </c>
      <c r="P299" s="64" t="s">
        <v>1292</v>
      </c>
    </row>
    <row r="300" spans="1:16" x14ac:dyDescent="0.25">
      <c r="A300" s="95"/>
      <c r="B300" s="52" t="s">
        <v>1236</v>
      </c>
      <c r="C300" s="52" t="s">
        <v>626</v>
      </c>
      <c r="D300" s="50"/>
      <c r="E300" s="56">
        <f t="shared" si="5"/>
        <v>0</v>
      </c>
      <c r="F300" s="57">
        <f>D300 * 0.8506920388</f>
        <v>0</v>
      </c>
      <c r="G300" s="57">
        <f>D300 * 0.0012758812</f>
        <v>0</v>
      </c>
      <c r="H300" s="57">
        <f>D300 * 0.0120753045</f>
        <v>0</v>
      </c>
      <c r="P300" s="64" t="s">
        <v>1293</v>
      </c>
    </row>
    <row r="301" spans="1:16" x14ac:dyDescent="0.25">
      <c r="A301" s="95"/>
      <c r="B301" s="52" t="s">
        <v>1238</v>
      </c>
      <c r="C301" s="52" t="s">
        <v>626</v>
      </c>
      <c r="D301" s="50"/>
      <c r="E301" s="56">
        <f t="shared" si="5"/>
        <v>0</v>
      </c>
      <c r="F301" s="57">
        <f>D301 * 1.1324986051</f>
        <v>0</v>
      </c>
      <c r="G301" s="57">
        <f>D301 * 0.0016985391</f>
        <v>0</v>
      </c>
      <c r="H301" s="57">
        <f>D301 * 0.0160754596</f>
        <v>0</v>
      </c>
      <c r="P301" s="64" t="s">
        <v>1294</v>
      </c>
    </row>
    <row r="302" spans="1:16" x14ac:dyDescent="0.25">
      <c r="A302" s="95"/>
      <c r="B302" s="52" t="s">
        <v>1240</v>
      </c>
      <c r="C302" s="52" t="s">
        <v>626</v>
      </c>
      <c r="D302" s="50"/>
      <c r="E302" s="56">
        <f t="shared" si="5"/>
        <v>0</v>
      </c>
      <c r="F302" s="57">
        <f>D302 * 1.3075402889</f>
        <v>0</v>
      </c>
      <c r="G302" s="57">
        <f>D302 * 0.0019610694</f>
        <v>0</v>
      </c>
      <c r="H302" s="57">
        <f>D302 * 0.018560121</f>
        <v>0</v>
      </c>
      <c r="P302" s="64" t="s">
        <v>1295</v>
      </c>
    </row>
    <row r="303" spans="1:16" x14ac:dyDescent="0.25">
      <c r="A303" s="95"/>
      <c r="B303" s="52" t="s">
        <v>1242</v>
      </c>
      <c r="C303" s="52" t="s">
        <v>626</v>
      </c>
      <c r="D303" s="50"/>
      <c r="E303" s="56">
        <f t="shared" si="5"/>
        <v>0</v>
      </c>
      <c r="F303" s="57">
        <f>D303 * 1.3776624092</f>
        <v>0</v>
      </c>
      <c r="G303" s="57">
        <f>D303 * 0.0020662396</f>
        <v>0</v>
      </c>
      <c r="H303" s="57">
        <f>D303 * 0.0195554823</f>
        <v>0</v>
      </c>
      <c r="P303" s="64" t="s">
        <v>1296</v>
      </c>
    </row>
    <row r="304" spans="1:16" x14ac:dyDescent="0.25">
      <c r="A304" s="95"/>
      <c r="B304" s="94" t="s">
        <v>1272</v>
      </c>
      <c r="C304" s="94"/>
      <c r="D304" s="94"/>
      <c r="E304" s="94"/>
      <c r="F304" s="94"/>
      <c r="G304" s="94"/>
      <c r="H304" s="94"/>
    </row>
    <row r="305" spans="1:16" x14ac:dyDescent="0.25">
      <c r="A305" s="95"/>
      <c r="B305" s="52" t="s">
        <v>1226</v>
      </c>
      <c r="C305" s="52" t="s">
        <v>626</v>
      </c>
      <c r="D305" s="50"/>
      <c r="E305" s="56">
        <f>F305 + G305 + H305</f>
        <v>0</v>
      </c>
      <c r="F305" s="57">
        <f>D305 * 0.0327185126</f>
        <v>0</v>
      </c>
      <c r="G305" s="57">
        <f>D305 * 0.0012108368</f>
        <v>0</v>
      </c>
      <c r="H305" s="57">
        <f>D305 * 0.0000354211</f>
        <v>0</v>
      </c>
      <c r="P305" s="64" t="s">
        <v>1297</v>
      </c>
    </row>
    <row r="306" spans="1:16" x14ac:dyDescent="0.25">
      <c r="A306" s="95"/>
      <c r="B306" s="52" t="s">
        <v>1228</v>
      </c>
      <c r="C306" s="52" t="s">
        <v>626</v>
      </c>
      <c r="D306" s="50"/>
      <c r="E306" s="56">
        <f>F306 + G306 + H306</f>
        <v>0</v>
      </c>
      <c r="F306" s="57">
        <f>D306 * 0.0374808571</f>
        <v>0</v>
      </c>
      <c r="G306" s="57">
        <f>D306 * 0.0013870801</f>
        <v>0</v>
      </c>
      <c r="H306" s="57">
        <f>D306 * 0.0000405769</f>
        <v>0</v>
      </c>
      <c r="P306" s="64" t="s">
        <v>1298</v>
      </c>
    </row>
    <row r="307" spans="1:16" x14ac:dyDescent="0.25">
      <c r="A307" s="95"/>
      <c r="B307" s="52" t="s">
        <v>1230</v>
      </c>
      <c r="C307" s="52" t="s">
        <v>626</v>
      </c>
      <c r="D307" s="50"/>
      <c r="E307" s="56">
        <f>F307 + G307 + H307</f>
        <v>0</v>
      </c>
      <c r="F307" s="57">
        <f>D307 * 0.0458300307</f>
        <v>0</v>
      </c>
      <c r="G307" s="57">
        <f>D307 * 0.0016960638</f>
        <v>0</v>
      </c>
      <c r="H307" s="57">
        <f>D307 * 0.0000496157</f>
        <v>0</v>
      </c>
      <c r="P307" s="64" t="s">
        <v>1299</v>
      </c>
    </row>
    <row r="308" spans="1:16" x14ac:dyDescent="0.25">
      <c r="A308" s="95"/>
      <c r="B308" s="52" t="s">
        <v>1232</v>
      </c>
      <c r="C308" s="52" t="s">
        <v>626</v>
      </c>
      <c r="D308" s="50"/>
      <c r="E308" s="56">
        <f>F308 + G308 + H308</f>
        <v>0</v>
      </c>
      <c r="F308" s="57">
        <f>D308 * 0.061744701</f>
        <v>0</v>
      </c>
      <c r="G308" s="57">
        <f>D308 * 0.0022850291</f>
        <v>0</v>
      </c>
      <c r="H308" s="57">
        <f>D308 * 0.0000668449</f>
        <v>0</v>
      </c>
      <c r="P308" s="64" t="s">
        <v>1300</v>
      </c>
    </row>
    <row r="309" spans="1:16" x14ac:dyDescent="0.25">
      <c r="A309" s="95"/>
      <c r="B309" s="52" t="s">
        <v>1234</v>
      </c>
      <c r="C309" s="52" t="s">
        <v>626</v>
      </c>
      <c r="D309" s="50"/>
      <c r="E309" s="56">
        <f>F309 + G309 + H309</f>
        <v>0</v>
      </c>
      <c r="F309" s="57">
        <f>D309 * 0.0692800563</f>
        <v>0</v>
      </c>
      <c r="G309" s="57">
        <f>D309 * 0.0025638952</f>
        <v>0</v>
      </c>
      <c r="H309" s="57">
        <f>D309 * 0.0000750027</f>
        <v>0</v>
      </c>
      <c r="P309" s="64" t="s">
        <v>1301</v>
      </c>
    </row>
    <row r="310" spans="1:16" x14ac:dyDescent="0.25">
      <c r="D310" s="65" t="s">
        <v>116</v>
      </c>
      <c r="E310" s="56">
        <f>SUM(E284:E309)</f>
        <v>0</v>
      </c>
      <c r="F310" s="57">
        <f>SUM(F284:F309)</f>
        <v>0</v>
      </c>
      <c r="G310" s="57">
        <f>SUM(G284:G309)</f>
        <v>0</v>
      </c>
      <c r="H310" s="57">
        <f>SUM(H284:H309)</f>
        <v>0</v>
      </c>
    </row>
    <row r="312" spans="1:16" x14ac:dyDescent="0.25">
      <c r="A312" s="92" t="s">
        <v>1302</v>
      </c>
      <c r="B312" s="92"/>
      <c r="C312" s="92"/>
      <c r="D312" s="92"/>
      <c r="E312" s="92"/>
      <c r="F312" s="92"/>
      <c r="G312" s="92"/>
      <c r="H312" s="92"/>
    </row>
    <row r="313" spans="1:16" x14ac:dyDescent="0.25">
      <c r="A313" s="93" t="s">
        <v>1303</v>
      </c>
      <c r="B313" s="93"/>
      <c r="C313" s="59" t="s">
        <v>61</v>
      </c>
      <c r="D313" s="60" t="s">
        <v>62</v>
      </c>
      <c r="E313" s="58" t="s">
        <v>63</v>
      </c>
      <c r="F313" s="58" t="s">
        <v>64</v>
      </c>
      <c r="G313" s="58" t="s">
        <v>65</v>
      </c>
      <c r="H313" s="58" t="s">
        <v>66</v>
      </c>
      <c r="P313" s="61" t="s">
        <v>68</v>
      </c>
    </row>
    <row r="314" spans="1:16" x14ac:dyDescent="0.25">
      <c r="A314" s="95" t="s">
        <v>60</v>
      </c>
      <c r="B314" s="52" t="s">
        <v>1304</v>
      </c>
      <c r="C314" s="52" t="s">
        <v>626</v>
      </c>
      <c r="D314" s="50"/>
      <c r="E314" s="56">
        <f>F314 + G314 + H314</f>
        <v>0</v>
      </c>
      <c r="F314" s="57">
        <f>D314 * 0.4683155894</f>
        <v>0</v>
      </c>
      <c r="G314" s="57">
        <f>D314 * 0.000702387</f>
        <v>0</v>
      </c>
      <c r="H314" s="57">
        <f>D314 * 0.0066475917</f>
        <v>0</v>
      </c>
      <c r="P314" s="64" t="s">
        <v>1305</v>
      </c>
    </row>
    <row r="315" spans="1:16" x14ac:dyDescent="0.25">
      <c r="A315" s="95"/>
      <c r="B315" s="52" t="s">
        <v>1306</v>
      </c>
      <c r="C315" s="52" t="s">
        <v>626</v>
      </c>
      <c r="D315" s="50"/>
      <c r="E315" s="56">
        <f>F315 + G315 + H315</f>
        <v>0</v>
      </c>
      <c r="F315" s="57">
        <f>D315 * 0.377499535</f>
        <v>0</v>
      </c>
      <c r="G315" s="57">
        <f>D315 * 0.0005661797</f>
        <v>0</v>
      </c>
      <c r="H315" s="57">
        <f>D315 * 0.0053584865</f>
        <v>0</v>
      </c>
      <c r="P315" s="64" t="s">
        <v>1307</v>
      </c>
    </row>
    <row r="316" spans="1:16" x14ac:dyDescent="0.25">
      <c r="D316" s="65" t="s">
        <v>116</v>
      </c>
      <c r="E316" s="56">
        <f>SUM(E314:E315)</f>
        <v>0</v>
      </c>
      <c r="F316" s="57">
        <f>SUM(F314:F315)</f>
        <v>0</v>
      </c>
      <c r="G316" s="57">
        <f>SUM(G314:G315)</f>
        <v>0</v>
      </c>
      <c r="H316" s="57">
        <f>SUM(H314:H315)</f>
        <v>0</v>
      </c>
    </row>
    <row r="318" spans="1:16" x14ac:dyDescent="0.25">
      <c r="A318" s="92" t="s">
        <v>1308</v>
      </c>
      <c r="B318" s="92"/>
      <c r="C318" s="92"/>
      <c r="D318" s="92"/>
      <c r="E318" s="92"/>
      <c r="F318" s="92"/>
      <c r="G318" s="92"/>
      <c r="H318" s="92"/>
    </row>
    <row r="319" spans="1:16" x14ac:dyDescent="0.25">
      <c r="A319" s="93" t="s">
        <v>1309</v>
      </c>
      <c r="B319" s="93"/>
      <c r="C319" s="59" t="s">
        <v>61</v>
      </c>
      <c r="D319" s="60" t="s">
        <v>62</v>
      </c>
      <c r="E319" s="58" t="s">
        <v>63</v>
      </c>
      <c r="F319" s="58" t="s">
        <v>64</v>
      </c>
      <c r="G319" s="58" t="s">
        <v>65</v>
      </c>
      <c r="H319" s="58" t="s">
        <v>66</v>
      </c>
      <c r="P319" s="61" t="s">
        <v>68</v>
      </c>
    </row>
    <row r="320" spans="1:16" x14ac:dyDescent="0.25">
      <c r="A320" s="95" t="s">
        <v>60</v>
      </c>
      <c r="B320" s="94" t="s">
        <v>1310</v>
      </c>
      <c r="C320" s="94"/>
      <c r="D320" s="94"/>
      <c r="E320" s="94"/>
      <c r="F320" s="94"/>
      <c r="G320" s="94"/>
      <c r="H320" s="94"/>
    </row>
    <row r="321" spans="1:16" x14ac:dyDescent="0.25">
      <c r="A321" s="95"/>
      <c r="B321" s="52" t="s">
        <v>1311</v>
      </c>
      <c r="C321" s="52" t="s">
        <v>1048</v>
      </c>
      <c r="D321" s="50"/>
      <c r="E321" s="56">
        <f>F321 + G321 + H321</f>
        <v>0</v>
      </c>
      <c r="F321" s="57">
        <f>D321 * 4.64646</f>
        <v>0</v>
      </c>
      <c r="G321" s="57">
        <f>D321 * 0.0039312</f>
        <v>0</v>
      </c>
      <c r="H321" s="57">
        <f>D321 * 0.0230052013</f>
        <v>0</v>
      </c>
      <c r="P321" s="64" t="s">
        <v>1312</v>
      </c>
    </row>
    <row r="322" spans="1:16" x14ac:dyDescent="0.25">
      <c r="A322" s="95"/>
      <c r="B322" s="52" t="s">
        <v>1313</v>
      </c>
      <c r="C322" s="52" t="s">
        <v>1048</v>
      </c>
      <c r="D322" s="50"/>
      <c r="E322" s="56">
        <f>F322 + G322 + H322</f>
        <v>0</v>
      </c>
      <c r="F322" s="57">
        <f>D322 * 1.65986</f>
        <v>0</v>
      </c>
      <c r="G322" s="57">
        <f>D322 * 0.0000784</f>
        <v>0</v>
      </c>
      <c r="H322" s="57">
        <f>D322 * 0.0082167785</f>
        <v>0</v>
      </c>
      <c r="P322" s="64" t="s">
        <v>1314</v>
      </c>
    </row>
    <row r="323" spans="1:16" x14ac:dyDescent="0.25">
      <c r="A323" s="95"/>
      <c r="B323" s="52" t="s">
        <v>1315</v>
      </c>
      <c r="C323" s="52" t="s">
        <v>1048</v>
      </c>
      <c r="D323" s="50"/>
      <c r="E323" s="56">
        <f>F323 + G323 + H323</f>
        <v>0</v>
      </c>
      <c r="F323" s="57">
        <f>D323 * 1.09356</f>
        <v>0</v>
      </c>
      <c r="G323" s="57">
        <f>D323 * 0.000056</f>
        <v>0</v>
      </c>
      <c r="H323" s="57">
        <f>D323 * 0.005415604</f>
        <v>0</v>
      </c>
      <c r="P323" s="64" t="s">
        <v>1316</v>
      </c>
    </row>
    <row r="324" spans="1:16" x14ac:dyDescent="0.25">
      <c r="D324" s="65" t="s">
        <v>116</v>
      </c>
      <c r="E324" s="56">
        <f>SUM(E320:E323)</f>
        <v>0</v>
      </c>
      <c r="F324" s="57">
        <f>SUM(F320:F323)</f>
        <v>0</v>
      </c>
      <c r="G324" s="57">
        <f>SUM(G320:G323)</f>
        <v>0</v>
      </c>
      <c r="H324" s="57">
        <f>SUM(H320:H323)</f>
        <v>0</v>
      </c>
    </row>
    <row r="326" spans="1:16" x14ac:dyDescent="0.25">
      <c r="A326" s="92" t="s">
        <v>1308</v>
      </c>
      <c r="B326" s="92"/>
      <c r="C326" s="92"/>
      <c r="D326" s="92"/>
      <c r="E326" s="92"/>
      <c r="F326" s="92"/>
      <c r="G326" s="92"/>
      <c r="H326" s="92"/>
    </row>
    <row r="327" spans="1:16" x14ac:dyDescent="0.25">
      <c r="A327" s="93" t="s">
        <v>1317</v>
      </c>
      <c r="B327" s="93"/>
      <c r="C327" s="59" t="s">
        <v>61</v>
      </c>
      <c r="D327" s="60" t="s">
        <v>62</v>
      </c>
      <c r="E327" s="58" t="s">
        <v>63</v>
      </c>
      <c r="F327" s="58" t="s">
        <v>64</v>
      </c>
      <c r="G327" s="58" t="s">
        <v>65</v>
      </c>
      <c r="H327" s="58" t="s">
        <v>66</v>
      </c>
      <c r="P327" s="61" t="s">
        <v>68</v>
      </c>
    </row>
    <row r="328" spans="1:16" x14ac:dyDescent="0.25">
      <c r="A328" s="95" t="s">
        <v>60</v>
      </c>
      <c r="B328" s="94" t="s">
        <v>1310</v>
      </c>
      <c r="C328" s="94"/>
      <c r="D328" s="94"/>
      <c r="E328" s="94"/>
      <c r="F328" s="94"/>
      <c r="G328" s="94"/>
      <c r="H328" s="94"/>
    </row>
    <row r="329" spans="1:16" x14ac:dyDescent="0.25">
      <c r="A329" s="95"/>
      <c r="B329" s="52" t="s">
        <v>1311</v>
      </c>
      <c r="C329" s="52" t="s">
        <v>1048</v>
      </c>
      <c r="D329" s="50"/>
      <c r="E329" s="56">
        <f>F329 + G329 + H329</f>
        <v>0</v>
      </c>
      <c r="F329" s="57">
        <f>D329 * 2.73321</f>
        <v>0</v>
      </c>
      <c r="G329" s="57">
        <f>D329 * 0.0039312</f>
        <v>0</v>
      </c>
      <c r="H329" s="57">
        <f>D329 * 0.0230052013</f>
        <v>0</v>
      </c>
      <c r="P329" s="64" t="s">
        <v>1318</v>
      </c>
    </row>
    <row r="330" spans="1:16" x14ac:dyDescent="0.25">
      <c r="A330" s="95"/>
      <c r="B330" s="52" t="s">
        <v>1313</v>
      </c>
      <c r="C330" s="52" t="s">
        <v>1048</v>
      </c>
      <c r="D330" s="50"/>
      <c r="E330" s="56">
        <f>F330 + G330 + H330</f>
        <v>0</v>
      </c>
      <c r="F330" s="57">
        <f>D330 * 0.97639</f>
        <v>0</v>
      </c>
      <c r="G330" s="57">
        <f>D330 * 0.0000784</f>
        <v>0</v>
      </c>
      <c r="H330" s="57">
        <f>D330 * 0.0082167785</f>
        <v>0</v>
      </c>
      <c r="P330" s="64" t="s">
        <v>1319</v>
      </c>
    </row>
    <row r="331" spans="1:16" x14ac:dyDescent="0.25">
      <c r="A331" s="95"/>
      <c r="B331" s="52" t="s">
        <v>1315</v>
      </c>
      <c r="C331" s="52" t="s">
        <v>1048</v>
      </c>
      <c r="D331" s="50"/>
      <c r="E331" s="56">
        <f>F331 + G331 + H331</f>
        <v>0</v>
      </c>
      <c r="F331" s="57">
        <f>D331 * 0.64327</f>
        <v>0</v>
      </c>
      <c r="G331" s="57">
        <f>D331 * 0.000056</f>
        <v>0</v>
      </c>
      <c r="H331" s="57">
        <f>D331 * 0.005415604</f>
        <v>0</v>
      </c>
      <c r="P331" s="64" t="s">
        <v>1320</v>
      </c>
    </row>
    <row r="332" spans="1:16" x14ac:dyDescent="0.25">
      <c r="D332" s="65" t="s">
        <v>116</v>
      </c>
      <c r="E332" s="56">
        <f>SUM(E328:E331)</f>
        <v>0</v>
      </c>
      <c r="F332" s="57">
        <f>SUM(F328:F331)</f>
        <v>0</v>
      </c>
      <c r="G332" s="57">
        <f>SUM(G328:G331)</f>
        <v>0</v>
      </c>
      <c r="H332" s="57">
        <f>SUM(H328:H331)</f>
        <v>0</v>
      </c>
    </row>
    <row r="334" spans="1:16" x14ac:dyDescent="0.25">
      <c r="A334" s="92" t="s">
        <v>1321</v>
      </c>
      <c r="B334" s="92"/>
      <c r="C334" s="92"/>
      <c r="D334" s="92"/>
      <c r="E334" s="92"/>
      <c r="F334" s="92"/>
      <c r="G334" s="92"/>
      <c r="H334" s="92"/>
      <c r="I334" s="92"/>
      <c r="J334" s="92"/>
    </row>
    <row r="335" spans="1:16" x14ac:dyDescent="0.25">
      <c r="A335" s="93" t="s">
        <v>60</v>
      </c>
      <c r="B335" s="93"/>
      <c r="C335" s="59" t="s">
        <v>61</v>
      </c>
      <c r="D335" s="60" t="s">
        <v>62</v>
      </c>
      <c r="E335" s="58" t="s">
        <v>63</v>
      </c>
      <c r="F335" s="58" t="s">
        <v>64</v>
      </c>
      <c r="G335" s="58" t="s">
        <v>65</v>
      </c>
      <c r="H335" s="58" t="s">
        <v>66</v>
      </c>
      <c r="I335" s="59" t="s">
        <v>240</v>
      </c>
      <c r="J335" s="59" t="s">
        <v>67</v>
      </c>
      <c r="P335" s="61" t="s">
        <v>68</v>
      </c>
    </row>
    <row r="336" spans="1:16" x14ac:dyDescent="0.25">
      <c r="A336" s="95" t="s">
        <v>1322</v>
      </c>
      <c r="B336" s="52" t="s">
        <v>1323</v>
      </c>
      <c r="C336" s="52" t="s">
        <v>1048</v>
      </c>
      <c r="D336" s="50"/>
      <c r="E336" s="56">
        <f>F336 + G336 + H336</f>
        <v>0</v>
      </c>
      <c r="F336" s="57">
        <f>D336 * 0.0158533082</f>
        <v>0</v>
      </c>
      <c r="G336" s="57">
        <f>D336 * 0.0000396027</f>
        <v>0</v>
      </c>
      <c r="H336" s="57">
        <f>D336 * 0.0001070891</f>
        <v>0</v>
      </c>
      <c r="I336" s="52" t="s">
        <v>1324</v>
      </c>
      <c r="J336" s="52" t="s">
        <v>176</v>
      </c>
      <c r="P336" s="64" t="s">
        <v>1325</v>
      </c>
    </row>
    <row r="337" spans="1:16" x14ac:dyDescent="0.25">
      <c r="A337" s="95"/>
      <c r="B337" s="52" t="s">
        <v>1326</v>
      </c>
      <c r="C337" s="52" t="s">
        <v>1048</v>
      </c>
      <c r="D337" s="50"/>
      <c r="E337" s="56">
        <f>F337 + G337 + H337</f>
        <v>0</v>
      </c>
      <c r="F337" s="57">
        <f>D337 * 0.0297249529</f>
        <v>0</v>
      </c>
      <c r="G337" s="57">
        <f>D337 * 0.0000742551</f>
        <v>0</v>
      </c>
      <c r="H337" s="57">
        <f>D337 * 0.000200792</f>
        <v>0</v>
      </c>
      <c r="I337" s="52" t="s">
        <v>1324</v>
      </c>
      <c r="J337" s="52" t="s">
        <v>176</v>
      </c>
      <c r="P337" s="64" t="s">
        <v>1327</v>
      </c>
    </row>
    <row r="338" spans="1:16" x14ac:dyDescent="0.25">
      <c r="A338" s="95"/>
      <c r="B338" s="52" t="s">
        <v>1328</v>
      </c>
      <c r="C338" s="52" t="s">
        <v>1048</v>
      </c>
      <c r="D338" s="50"/>
      <c r="E338" s="56">
        <f>F338 + G338 + H338</f>
        <v>0</v>
      </c>
      <c r="F338" s="57">
        <f>D338 * 0.0455782611</f>
        <v>0</v>
      </c>
      <c r="G338" s="57">
        <f>D338 * 0.0001138579</f>
        <v>0</v>
      </c>
      <c r="H338" s="57">
        <f>D338 * 0.000307881</f>
        <v>0</v>
      </c>
      <c r="I338" s="52" t="s">
        <v>1324</v>
      </c>
      <c r="J338" s="52" t="s">
        <v>176</v>
      </c>
      <c r="P338" s="64" t="s">
        <v>1329</v>
      </c>
    </row>
    <row r="339" spans="1:16" x14ac:dyDescent="0.25">
      <c r="D339" s="65" t="s">
        <v>116</v>
      </c>
      <c r="E339" s="56">
        <f>SUM(E336:E338)</f>
        <v>0</v>
      </c>
      <c r="F339" s="57">
        <f>SUM(F336:F338)</f>
        <v>0</v>
      </c>
      <c r="G339" s="57">
        <f>SUM(G336:G338)</f>
        <v>0</v>
      </c>
      <c r="H339" s="57">
        <f>SUM(H336:H338)</f>
        <v>0</v>
      </c>
    </row>
    <row r="341" spans="1:16" x14ac:dyDescent="0.25">
      <c r="A341" s="92" t="s">
        <v>1330</v>
      </c>
      <c r="B341" s="92"/>
      <c r="C341" s="92"/>
      <c r="D341" s="92"/>
      <c r="E341" s="92"/>
      <c r="F341" s="92"/>
      <c r="G341" s="92"/>
      <c r="H341" s="92"/>
      <c r="I341" s="92"/>
      <c r="J341" s="92"/>
    </row>
    <row r="342" spans="1:16" x14ac:dyDescent="0.25">
      <c r="A342" s="93" t="s">
        <v>60</v>
      </c>
      <c r="B342" s="93"/>
      <c r="C342" s="59" t="s">
        <v>61</v>
      </c>
      <c r="D342" s="60" t="s">
        <v>62</v>
      </c>
      <c r="E342" s="58" t="s">
        <v>63</v>
      </c>
      <c r="F342" s="58" t="s">
        <v>64</v>
      </c>
      <c r="G342" s="58" t="s">
        <v>65</v>
      </c>
      <c r="H342" s="58" t="s">
        <v>66</v>
      </c>
      <c r="I342" s="59" t="s">
        <v>240</v>
      </c>
      <c r="J342" s="59" t="s">
        <v>67</v>
      </c>
      <c r="P342" s="61" t="s">
        <v>68</v>
      </c>
    </row>
    <row r="343" spans="1:16" x14ac:dyDescent="0.25">
      <c r="A343" s="95" t="s">
        <v>1331</v>
      </c>
      <c r="B343" s="52" t="s">
        <v>1332</v>
      </c>
      <c r="C343" s="52" t="s">
        <v>1048</v>
      </c>
      <c r="D343" s="50"/>
      <c r="E343" s="56">
        <f t="shared" ref="E343:E371" si="6">F343 + G343 + H343</f>
        <v>0</v>
      </c>
      <c r="F343" s="57">
        <f>D343 * 0.0025</f>
        <v>0</v>
      </c>
      <c r="G343" s="57">
        <f>D343 * 0.00000112</f>
        <v>0</v>
      </c>
      <c r="H343" s="57">
        <f>D343 * 0.0000302349</f>
        <v>0</v>
      </c>
      <c r="I343" s="52" t="s">
        <v>1333</v>
      </c>
      <c r="J343" s="52" t="s">
        <v>176</v>
      </c>
      <c r="P343" s="64" t="s">
        <v>1334</v>
      </c>
    </row>
    <row r="344" spans="1:16" x14ac:dyDescent="0.25">
      <c r="A344" s="95"/>
      <c r="B344" s="52" t="s">
        <v>1335</v>
      </c>
      <c r="C344" s="52" t="s">
        <v>1048</v>
      </c>
      <c r="D344" s="50"/>
      <c r="E344" s="56">
        <f t="shared" si="6"/>
        <v>0</v>
      </c>
      <c r="F344" s="57">
        <f>D344 * 0.003</f>
        <v>0</v>
      </c>
      <c r="G344" s="57">
        <f>D344 * 0.00000112</f>
        <v>0</v>
      </c>
      <c r="H344" s="57">
        <f>D344 * 0.0000364597</f>
        <v>0</v>
      </c>
      <c r="I344" s="52" t="s">
        <v>1333</v>
      </c>
      <c r="J344" s="52" t="s">
        <v>176</v>
      </c>
      <c r="P344" s="64" t="s">
        <v>1336</v>
      </c>
    </row>
    <row r="345" spans="1:16" x14ac:dyDescent="0.25">
      <c r="A345" s="95"/>
      <c r="B345" s="52" t="s">
        <v>1337</v>
      </c>
      <c r="C345" s="52" t="s">
        <v>1048</v>
      </c>
      <c r="D345" s="50"/>
      <c r="E345" s="56">
        <f t="shared" si="6"/>
        <v>0</v>
      </c>
      <c r="F345" s="57">
        <f>D345 * 0.0041</f>
        <v>0</v>
      </c>
      <c r="G345" s="57">
        <f>D345 * 0.00000112</f>
        <v>0</v>
      </c>
      <c r="H345" s="57">
        <f>D345 * 0.0000497987</f>
        <v>0</v>
      </c>
      <c r="I345" s="52" t="s">
        <v>1333</v>
      </c>
      <c r="J345" s="52" t="s">
        <v>176</v>
      </c>
      <c r="P345" s="64" t="s">
        <v>1338</v>
      </c>
    </row>
    <row r="346" spans="1:16" x14ac:dyDescent="0.25">
      <c r="A346" s="95"/>
      <c r="B346" s="52" t="s">
        <v>1339</v>
      </c>
      <c r="C346" s="52" t="s">
        <v>1048</v>
      </c>
      <c r="D346" s="50"/>
      <c r="E346" s="56">
        <f t="shared" si="6"/>
        <v>0</v>
      </c>
      <c r="F346" s="57">
        <f>D346 * 0.0057</f>
        <v>0</v>
      </c>
      <c r="G346" s="57">
        <f>D346 * 0.00000224</f>
        <v>0</v>
      </c>
      <c r="H346" s="57">
        <f>D346 * 0.0000693624</f>
        <v>0</v>
      </c>
      <c r="I346" s="52" t="s">
        <v>1333</v>
      </c>
      <c r="J346" s="52" t="s">
        <v>176</v>
      </c>
      <c r="P346" s="64" t="s">
        <v>1340</v>
      </c>
    </row>
    <row r="347" spans="1:16" x14ac:dyDescent="0.25">
      <c r="A347" s="95"/>
      <c r="B347" s="52" t="s">
        <v>1341</v>
      </c>
      <c r="C347" s="52" t="s">
        <v>1048</v>
      </c>
      <c r="D347" s="50"/>
      <c r="E347" s="56">
        <f t="shared" si="6"/>
        <v>0</v>
      </c>
      <c r="F347" s="57">
        <f>D347 * 0.0079</f>
        <v>0</v>
      </c>
      <c r="G347" s="57">
        <f>D347 * 0.00000224</f>
        <v>0</v>
      </c>
      <c r="H347" s="57">
        <f>D347 * 0.0000960403</f>
        <v>0</v>
      </c>
      <c r="I347" s="52" t="s">
        <v>1333</v>
      </c>
      <c r="J347" s="52" t="s">
        <v>176</v>
      </c>
      <c r="P347" s="64" t="s">
        <v>1342</v>
      </c>
    </row>
    <row r="348" spans="1:16" x14ac:dyDescent="0.25">
      <c r="A348" s="95"/>
      <c r="B348" s="52" t="s">
        <v>1343</v>
      </c>
      <c r="C348" s="52" t="s">
        <v>1048</v>
      </c>
      <c r="D348" s="50"/>
      <c r="E348" s="56">
        <f t="shared" si="6"/>
        <v>0</v>
      </c>
      <c r="F348" s="57">
        <f>D348 * 0.0292</f>
        <v>0</v>
      </c>
      <c r="G348" s="57">
        <f>D348 * 0.00001008</f>
        <v>0</v>
      </c>
      <c r="H348" s="57">
        <f>D348 * 0.0003539262</f>
        <v>0</v>
      </c>
      <c r="I348" s="52" t="s">
        <v>1333</v>
      </c>
      <c r="J348" s="52" t="s">
        <v>176</v>
      </c>
      <c r="P348" s="64" t="s">
        <v>1344</v>
      </c>
    </row>
    <row r="349" spans="1:16" x14ac:dyDescent="0.25">
      <c r="A349" s="95"/>
      <c r="B349" s="52" t="s">
        <v>1345</v>
      </c>
      <c r="C349" s="52" t="s">
        <v>1048</v>
      </c>
      <c r="D349" s="50"/>
      <c r="E349" s="56">
        <f t="shared" si="6"/>
        <v>0</v>
      </c>
      <c r="F349" s="57">
        <f>D349 * 0.00349</f>
        <v>0</v>
      </c>
      <c r="G349" s="57">
        <f>D349 * 0.00000112</f>
        <v>0</v>
      </c>
      <c r="H349" s="57">
        <f>D349 * 0.0000426846</f>
        <v>0</v>
      </c>
      <c r="I349" s="52" t="s">
        <v>1333</v>
      </c>
      <c r="J349" s="52" t="s">
        <v>176</v>
      </c>
      <c r="P349" s="64" t="s">
        <v>1346</v>
      </c>
    </row>
    <row r="350" spans="1:16" x14ac:dyDescent="0.25">
      <c r="A350" s="95" t="s">
        <v>1347</v>
      </c>
      <c r="B350" s="52" t="s">
        <v>1348</v>
      </c>
      <c r="C350" s="52" t="s">
        <v>1048</v>
      </c>
      <c r="D350" s="50"/>
      <c r="E350" s="56">
        <f t="shared" si="6"/>
        <v>0</v>
      </c>
      <c r="F350" s="57">
        <f>D350 * 0.0119</f>
        <v>0</v>
      </c>
      <c r="G350" s="57">
        <f>D350 * 0.00000448</f>
        <v>0</v>
      </c>
      <c r="H350" s="57">
        <f>D350 * 0.0001440604</f>
        <v>0</v>
      </c>
      <c r="I350" s="52" t="s">
        <v>1333</v>
      </c>
      <c r="J350" s="52" t="s">
        <v>176</v>
      </c>
      <c r="P350" s="64" t="s">
        <v>1349</v>
      </c>
    </row>
    <row r="351" spans="1:16" x14ac:dyDescent="0.25">
      <c r="A351" s="95"/>
      <c r="B351" s="52" t="s">
        <v>1350</v>
      </c>
      <c r="C351" s="52" t="s">
        <v>1048</v>
      </c>
      <c r="D351" s="50"/>
      <c r="E351" s="56">
        <f t="shared" si="6"/>
        <v>0</v>
      </c>
      <c r="F351" s="57">
        <f>D351 * 0.0158</f>
        <v>0</v>
      </c>
      <c r="G351" s="57">
        <f>D351 * 0.0000056</f>
        <v>0</v>
      </c>
      <c r="H351" s="57">
        <f>D351 * 0.0001911913</f>
        <v>0</v>
      </c>
      <c r="I351" s="52" t="s">
        <v>1333</v>
      </c>
      <c r="J351" s="52" t="s">
        <v>176</v>
      </c>
      <c r="P351" s="64" t="s">
        <v>1351</v>
      </c>
    </row>
    <row r="352" spans="1:16" x14ac:dyDescent="0.25">
      <c r="A352" s="95"/>
      <c r="B352" s="52" t="s">
        <v>1352</v>
      </c>
      <c r="C352" s="52" t="s">
        <v>1048</v>
      </c>
      <c r="D352" s="50"/>
      <c r="E352" s="56">
        <f t="shared" si="6"/>
        <v>0</v>
      </c>
      <c r="F352" s="57">
        <f>D352 * 0.0139</f>
        <v>0</v>
      </c>
      <c r="G352" s="57">
        <f>D352 * 0.00000448</f>
        <v>0</v>
      </c>
      <c r="H352" s="57">
        <f>D352 * 0.0001680705</f>
        <v>0</v>
      </c>
      <c r="I352" s="52" t="s">
        <v>1333</v>
      </c>
      <c r="J352" s="52" t="s">
        <v>176</v>
      </c>
      <c r="P352" s="64" t="s">
        <v>1353</v>
      </c>
    </row>
    <row r="353" spans="1:16" x14ac:dyDescent="0.25">
      <c r="A353" s="95"/>
      <c r="B353" s="52" t="s">
        <v>1354</v>
      </c>
      <c r="C353" s="52" t="s">
        <v>1048</v>
      </c>
      <c r="D353" s="50"/>
      <c r="E353" s="56">
        <f t="shared" si="6"/>
        <v>0</v>
      </c>
      <c r="F353" s="57">
        <f>D353 * 0.011</f>
        <v>0</v>
      </c>
      <c r="G353" s="57">
        <f>D353 * 0.00000336</f>
        <v>0</v>
      </c>
      <c r="H353" s="57">
        <f>D353 * 0.0001333893</f>
        <v>0</v>
      </c>
      <c r="I353" s="52" t="s">
        <v>1333</v>
      </c>
      <c r="J353" s="52" t="s">
        <v>176</v>
      </c>
      <c r="P353" s="64" t="s">
        <v>1355</v>
      </c>
    </row>
    <row r="354" spans="1:16" x14ac:dyDescent="0.25">
      <c r="A354" s="95"/>
      <c r="B354" s="52" t="s">
        <v>1356</v>
      </c>
      <c r="C354" s="52" t="s">
        <v>1048</v>
      </c>
      <c r="D354" s="50"/>
      <c r="E354" s="56">
        <f t="shared" si="6"/>
        <v>0</v>
      </c>
      <c r="F354" s="57">
        <f>D354 * 0.0175</f>
        <v>0</v>
      </c>
      <c r="G354" s="57">
        <f>D354 * 0.0000056</f>
        <v>0</v>
      </c>
      <c r="H354" s="57">
        <f>D354 * 0.0002116443</f>
        <v>0</v>
      </c>
      <c r="I354" s="52" t="s">
        <v>1333</v>
      </c>
      <c r="J354" s="52" t="s">
        <v>176</v>
      </c>
      <c r="P354" s="64" t="s">
        <v>1357</v>
      </c>
    </row>
    <row r="355" spans="1:16" x14ac:dyDescent="0.25">
      <c r="A355" s="95"/>
      <c r="B355" s="52" t="s">
        <v>1358</v>
      </c>
      <c r="C355" s="52" t="s">
        <v>1048</v>
      </c>
      <c r="D355" s="50"/>
      <c r="E355" s="56">
        <f t="shared" si="6"/>
        <v>0</v>
      </c>
      <c r="F355" s="57">
        <f>D355 * 0.0198</f>
        <v>0</v>
      </c>
      <c r="G355" s="57">
        <f>D355 * 0.00000672</f>
        <v>0</v>
      </c>
      <c r="H355" s="57">
        <f>D355 * 0.0002401007</f>
        <v>0</v>
      </c>
      <c r="I355" s="52" t="s">
        <v>1333</v>
      </c>
      <c r="J355" s="52" t="s">
        <v>176</v>
      </c>
      <c r="P355" s="64" t="s">
        <v>1359</v>
      </c>
    </row>
    <row r="356" spans="1:16" x14ac:dyDescent="0.25">
      <c r="A356" s="95"/>
      <c r="B356" s="52" t="s">
        <v>1345</v>
      </c>
      <c r="C356" s="52" t="s">
        <v>1048</v>
      </c>
      <c r="D356" s="50"/>
      <c r="E356" s="56">
        <f t="shared" si="6"/>
        <v>0</v>
      </c>
      <c r="F356" s="57">
        <f>D356 * 0.01305</f>
        <v>0</v>
      </c>
      <c r="G356" s="57">
        <f>D356 * 0.00000448</f>
        <v>0</v>
      </c>
      <c r="H356" s="57">
        <f>D356 * 0.0001582886</f>
        <v>0</v>
      </c>
      <c r="I356" s="52" t="s">
        <v>1333</v>
      </c>
      <c r="J356" s="52" t="s">
        <v>176</v>
      </c>
      <c r="P356" s="64" t="s">
        <v>1360</v>
      </c>
    </row>
    <row r="357" spans="1:16" x14ac:dyDescent="0.25">
      <c r="A357" s="95" t="s">
        <v>1361</v>
      </c>
      <c r="B357" s="52" t="s">
        <v>1362</v>
      </c>
      <c r="C357" s="52" t="s">
        <v>1048</v>
      </c>
      <c r="D357" s="50"/>
      <c r="E357" s="56">
        <f t="shared" si="6"/>
        <v>0</v>
      </c>
      <c r="F357" s="57">
        <f>D357 * 0.0125</f>
        <v>0</v>
      </c>
      <c r="G357" s="57">
        <f>D357 * 0.00000448</f>
        <v>0</v>
      </c>
      <c r="H357" s="57">
        <f>D357 * 0.0001511745</f>
        <v>0</v>
      </c>
      <c r="I357" s="52" t="s">
        <v>1333</v>
      </c>
      <c r="J357" s="52" t="s">
        <v>176</v>
      </c>
      <c r="P357" s="64" t="s">
        <v>1363</v>
      </c>
    </row>
    <row r="358" spans="1:16" x14ac:dyDescent="0.25">
      <c r="A358" s="95"/>
      <c r="B358" s="52" t="s">
        <v>1364</v>
      </c>
      <c r="C358" s="52" t="s">
        <v>1048</v>
      </c>
      <c r="D358" s="50"/>
      <c r="E358" s="56">
        <f t="shared" si="6"/>
        <v>0</v>
      </c>
      <c r="F358" s="57">
        <f>D358 * 0.0166</f>
        <v>0</v>
      </c>
      <c r="G358" s="57">
        <f>D358 * 0.0000056</f>
        <v>0</v>
      </c>
      <c r="H358" s="57">
        <f>D358 * 0.0002009732</f>
        <v>0</v>
      </c>
      <c r="I358" s="52" t="s">
        <v>1333</v>
      </c>
      <c r="J358" s="52" t="s">
        <v>176</v>
      </c>
      <c r="P358" s="64" t="s">
        <v>1365</v>
      </c>
    </row>
    <row r="359" spans="1:16" x14ac:dyDescent="0.25">
      <c r="A359" s="95"/>
      <c r="B359" s="52" t="s">
        <v>1366</v>
      </c>
      <c r="C359" s="52" t="s">
        <v>1048</v>
      </c>
      <c r="D359" s="50"/>
      <c r="E359" s="56">
        <f t="shared" si="6"/>
        <v>0</v>
      </c>
      <c r="F359" s="57">
        <f>D359 * 0.0166</f>
        <v>0</v>
      </c>
      <c r="G359" s="57">
        <f>D359 * 0.0000056</f>
        <v>0</v>
      </c>
      <c r="H359" s="57">
        <f>D359 * 0.0002009732</f>
        <v>0</v>
      </c>
      <c r="I359" s="52" t="s">
        <v>1333</v>
      </c>
      <c r="J359" s="52" t="s">
        <v>176</v>
      </c>
      <c r="P359" s="64" t="s">
        <v>1367</v>
      </c>
    </row>
    <row r="360" spans="1:16" x14ac:dyDescent="0.25">
      <c r="A360" s="95"/>
      <c r="B360" s="52" t="s">
        <v>1368</v>
      </c>
      <c r="C360" s="52" t="s">
        <v>1048</v>
      </c>
      <c r="D360" s="50"/>
      <c r="E360" s="56">
        <f t="shared" si="6"/>
        <v>0</v>
      </c>
      <c r="F360" s="57">
        <f>D360 * 0.02</f>
        <v>0</v>
      </c>
      <c r="G360" s="57">
        <f>D360 * 0.00000672</f>
        <v>0</v>
      </c>
      <c r="H360" s="57">
        <f>D360 * 0.0002418792</f>
        <v>0</v>
      </c>
      <c r="I360" s="52" t="s">
        <v>1333</v>
      </c>
      <c r="J360" s="52" t="s">
        <v>176</v>
      </c>
      <c r="P360" s="64" t="s">
        <v>1369</v>
      </c>
    </row>
    <row r="361" spans="1:16" x14ac:dyDescent="0.25">
      <c r="A361" s="95"/>
      <c r="B361" s="52" t="s">
        <v>1370</v>
      </c>
      <c r="C361" s="52" t="s">
        <v>1048</v>
      </c>
      <c r="D361" s="50"/>
      <c r="E361" s="56">
        <f t="shared" si="6"/>
        <v>0</v>
      </c>
      <c r="F361" s="57">
        <f>D361 * 0.0321</f>
        <v>0</v>
      </c>
      <c r="G361" s="57">
        <f>D361 * 0.0000112</f>
        <v>0</v>
      </c>
      <c r="H361" s="57">
        <f>D361 * 0.0003886074</f>
        <v>0</v>
      </c>
      <c r="I361" s="52" t="s">
        <v>1333</v>
      </c>
      <c r="J361" s="52" t="s">
        <v>176</v>
      </c>
      <c r="P361" s="64" t="s">
        <v>1371</v>
      </c>
    </row>
    <row r="362" spans="1:16" x14ac:dyDescent="0.25">
      <c r="A362" s="95"/>
      <c r="B362" s="52" t="s">
        <v>1372</v>
      </c>
      <c r="C362" s="52" t="s">
        <v>1048</v>
      </c>
      <c r="D362" s="50"/>
      <c r="E362" s="56">
        <f t="shared" si="6"/>
        <v>0</v>
      </c>
      <c r="F362" s="57">
        <f>D362 * 0.0363</f>
        <v>0</v>
      </c>
      <c r="G362" s="57">
        <f>D362 * 0.00001232</f>
        <v>0</v>
      </c>
      <c r="H362" s="57">
        <f>D362 * 0.0004392953</f>
        <v>0</v>
      </c>
      <c r="I362" s="52" t="s">
        <v>1333</v>
      </c>
      <c r="J362" s="52" t="s">
        <v>176</v>
      </c>
      <c r="P362" s="64" t="s">
        <v>1373</v>
      </c>
    </row>
    <row r="363" spans="1:16" x14ac:dyDescent="0.25">
      <c r="A363" s="95"/>
      <c r="B363" s="52" t="s">
        <v>1345</v>
      </c>
      <c r="C363" s="52" t="s">
        <v>1048</v>
      </c>
      <c r="D363" s="50"/>
      <c r="E363" s="56">
        <f t="shared" si="6"/>
        <v>0</v>
      </c>
      <c r="F363" s="57">
        <f>D363 * 0.01592</f>
        <v>0</v>
      </c>
      <c r="G363" s="57">
        <f>D363 * 0.0000056</f>
        <v>0</v>
      </c>
      <c r="H363" s="57">
        <f>D363 * 0.0001929698</f>
        <v>0</v>
      </c>
      <c r="I363" s="52" t="s">
        <v>1333</v>
      </c>
      <c r="J363" s="52" t="s">
        <v>176</v>
      </c>
      <c r="P363" s="64" t="s">
        <v>1374</v>
      </c>
    </row>
    <row r="364" spans="1:16" x14ac:dyDescent="0.25">
      <c r="A364" s="95" t="s">
        <v>1375</v>
      </c>
      <c r="B364" s="52" t="s">
        <v>1376</v>
      </c>
      <c r="C364" s="52" t="s">
        <v>1048</v>
      </c>
      <c r="D364" s="50"/>
      <c r="E364" s="56">
        <f t="shared" si="6"/>
        <v>0</v>
      </c>
      <c r="F364" s="57">
        <f>D364 * 0.032</f>
        <v>0</v>
      </c>
      <c r="G364" s="57">
        <f>D364 * 0.0000112</f>
        <v>0</v>
      </c>
      <c r="H364" s="57">
        <f>D364 * 0.0003877181</f>
        <v>0</v>
      </c>
      <c r="I364" s="52" t="s">
        <v>1333</v>
      </c>
      <c r="J364" s="52" t="s">
        <v>176</v>
      </c>
      <c r="P364" s="64" t="s">
        <v>1377</v>
      </c>
    </row>
    <row r="365" spans="1:16" x14ac:dyDescent="0.25">
      <c r="A365" s="95"/>
      <c r="B365" s="52" t="s">
        <v>1378</v>
      </c>
      <c r="C365" s="52" t="s">
        <v>1048</v>
      </c>
      <c r="D365" s="50"/>
      <c r="E365" s="56">
        <f t="shared" si="6"/>
        <v>0</v>
      </c>
      <c r="F365" s="57">
        <f>D365 * 0.0576</f>
        <v>0</v>
      </c>
      <c r="G365" s="57">
        <f>D365 * 0.00001904</f>
        <v>0</v>
      </c>
      <c r="H365" s="57">
        <f>D365 * 0.0006971812</f>
        <v>0</v>
      </c>
      <c r="I365" s="52" t="s">
        <v>1333</v>
      </c>
      <c r="J365" s="52" t="s">
        <v>176</v>
      </c>
      <c r="P365" s="64" t="s">
        <v>1379</v>
      </c>
    </row>
    <row r="366" spans="1:16" x14ac:dyDescent="0.25">
      <c r="A366" s="95"/>
      <c r="B366" s="52" t="s">
        <v>1345</v>
      </c>
      <c r="C366" s="52" t="s">
        <v>1048</v>
      </c>
      <c r="D366" s="50"/>
      <c r="E366" s="56">
        <f t="shared" si="6"/>
        <v>0</v>
      </c>
      <c r="F366" s="57">
        <f>D366 * 0.03805</f>
        <v>0</v>
      </c>
      <c r="G366" s="57">
        <f>D366 * 0.00001232</f>
        <v>0</v>
      </c>
      <c r="H366" s="57">
        <f>D366 * 0.0004606376</f>
        <v>0</v>
      </c>
      <c r="I366" s="52" t="s">
        <v>1333</v>
      </c>
      <c r="J366" s="52" t="s">
        <v>176</v>
      </c>
      <c r="P366" s="64" t="s">
        <v>1380</v>
      </c>
    </row>
    <row r="367" spans="1:16" x14ac:dyDescent="0.25">
      <c r="A367" s="95" t="s">
        <v>1381</v>
      </c>
      <c r="B367" s="52" t="s">
        <v>1382</v>
      </c>
      <c r="C367" s="52" t="s">
        <v>1048</v>
      </c>
      <c r="D367" s="50"/>
      <c r="E367" s="56">
        <f t="shared" si="6"/>
        <v>0</v>
      </c>
      <c r="F367" s="57">
        <f>D367 * 0.0495</f>
        <v>0</v>
      </c>
      <c r="G367" s="57">
        <f>D367 * 0.0000168</f>
        <v>0</v>
      </c>
      <c r="H367" s="57">
        <f>D367 * 0.0005993624</f>
        <v>0</v>
      </c>
      <c r="I367" s="52" t="s">
        <v>1333</v>
      </c>
      <c r="J367" s="52" t="s">
        <v>176</v>
      </c>
      <c r="P367" s="64" t="s">
        <v>1383</v>
      </c>
    </row>
    <row r="368" spans="1:16" x14ac:dyDescent="0.25">
      <c r="A368" s="95"/>
      <c r="B368" s="52" t="s">
        <v>1384</v>
      </c>
      <c r="C368" s="52" t="s">
        <v>1048</v>
      </c>
      <c r="D368" s="50"/>
      <c r="E368" s="56">
        <f t="shared" si="6"/>
        <v>0</v>
      </c>
      <c r="F368" s="57">
        <f>D368 * 0.0603</f>
        <v>0</v>
      </c>
      <c r="G368" s="57">
        <f>D368 * 0.00002016</f>
        <v>0</v>
      </c>
      <c r="H368" s="57">
        <f>D368 * 0.0007300839</f>
        <v>0</v>
      </c>
      <c r="I368" s="52" t="s">
        <v>1333</v>
      </c>
      <c r="J368" s="52" t="s">
        <v>176</v>
      </c>
      <c r="P368" s="64" t="s">
        <v>1385</v>
      </c>
    </row>
    <row r="369" spans="1:16" x14ac:dyDescent="0.25">
      <c r="A369" s="95"/>
      <c r="B369" s="52" t="s">
        <v>1345</v>
      </c>
      <c r="C369" s="52" t="s">
        <v>1048</v>
      </c>
      <c r="D369" s="50"/>
      <c r="E369" s="56">
        <f t="shared" si="6"/>
        <v>0</v>
      </c>
      <c r="F369" s="57">
        <f>D369 * 0.05095</f>
        <v>0</v>
      </c>
      <c r="G369" s="57">
        <f>D369 * 0.0000168</f>
        <v>0</v>
      </c>
      <c r="H369" s="57">
        <f>D369 * 0.0006171477</f>
        <v>0</v>
      </c>
      <c r="I369" s="52" t="s">
        <v>1333</v>
      </c>
      <c r="J369" s="52" t="s">
        <v>176</v>
      </c>
      <c r="P369" s="64" t="s">
        <v>1386</v>
      </c>
    </row>
    <row r="370" spans="1:16" x14ac:dyDescent="0.25">
      <c r="A370" s="95"/>
      <c r="B370" s="52" t="s">
        <v>1387</v>
      </c>
      <c r="C370" s="52" t="s">
        <v>1048</v>
      </c>
      <c r="D370" s="50"/>
      <c r="E370" s="56">
        <f t="shared" si="6"/>
        <v>0</v>
      </c>
      <c r="F370" s="57">
        <f>D370 * 0.3715</f>
        <v>0</v>
      </c>
      <c r="G370" s="57">
        <f>D370 * 0.00012432</f>
        <v>0</v>
      </c>
      <c r="H370" s="57">
        <f>D370 * 0.0044987752</f>
        <v>0</v>
      </c>
      <c r="I370" s="52" t="s">
        <v>1333</v>
      </c>
      <c r="J370" s="52" t="s">
        <v>176</v>
      </c>
      <c r="P370" s="64" t="s">
        <v>1388</v>
      </c>
    </row>
    <row r="371" spans="1:16" x14ac:dyDescent="0.25">
      <c r="A371" s="62" t="s">
        <v>1389</v>
      </c>
      <c r="B371" s="52" t="s">
        <v>1390</v>
      </c>
      <c r="C371" s="52" t="s">
        <v>1048</v>
      </c>
      <c r="D371" s="50"/>
      <c r="E371" s="56">
        <f t="shared" si="6"/>
        <v>0</v>
      </c>
      <c r="F371" s="57">
        <f>D371 * 0.0129</f>
        <v>0</v>
      </c>
      <c r="G371" s="57">
        <f>D371 * 0.00000448</f>
        <v>0</v>
      </c>
      <c r="H371" s="57">
        <f>D371 * 0.0001565101</f>
        <v>0</v>
      </c>
      <c r="I371" s="52" t="s">
        <v>1333</v>
      </c>
      <c r="J371" s="52" t="s">
        <v>176</v>
      </c>
      <c r="P371" s="64" t="s">
        <v>1391</v>
      </c>
    </row>
    <row r="372" spans="1:16" x14ac:dyDescent="0.25">
      <c r="D372" s="65" t="s">
        <v>116</v>
      </c>
      <c r="E372" s="56">
        <f>SUM(E343:E371)</f>
        <v>0</v>
      </c>
      <c r="F372" s="57">
        <f>SUM(F343:F371)</f>
        <v>0</v>
      </c>
      <c r="G372" s="57">
        <f>SUM(G343:G371)</f>
        <v>0</v>
      </c>
      <c r="H372" s="57">
        <f>SUM(H343:H371)</f>
        <v>0</v>
      </c>
    </row>
    <row r="374" spans="1:16" x14ac:dyDescent="0.25">
      <c r="A374" s="92" t="s">
        <v>1392</v>
      </c>
      <c r="B374" s="92"/>
      <c r="C374" s="92"/>
      <c r="D374" s="92"/>
      <c r="E374" s="92"/>
      <c r="F374" s="92"/>
      <c r="G374" s="92"/>
      <c r="H374" s="92"/>
      <c r="I374" s="92"/>
    </row>
    <row r="375" spans="1:16" x14ac:dyDescent="0.25">
      <c r="A375" s="93" t="s">
        <v>60</v>
      </c>
      <c r="B375" s="93"/>
      <c r="C375" s="59" t="s">
        <v>61</v>
      </c>
      <c r="D375" s="60" t="s">
        <v>62</v>
      </c>
      <c r="E375" s="58" t="s">
        <v>63</v>
      </c>
      <c r="F375" s="58" t="s">
        <v>64</v>
      </c>
      <c r="G375" s="58" t="s">
        <v>65</v>
      </c>
      <c r="H375" s="58" t="s">
        <v>66</v>
      </c>
      <c r="I375" s="59" t="s">
        <v>240</v>
      </c>
      <c r="P375" s="61" t="s">
        <v>68</v>
      </c>
    </row>
    <row r="376" spans="1:16" x14ac:dyDescent="0.25">
      <c r="A376" s="95" t="s">
        <v>1393</v>
      </c>
      <c r="B376" s="52" t="s">
        <v>1393</v>
      </c>
      <c r="C376" s="52" t="s">
        <v>1048</v>
      </c>
      <c r="D376" s="50"/>
      <c r="E376" s="56">
        <f>F376 + G376 + H376</f>
        <v>0</v>
      </c>
      <c r="F376" s="57">
        <f>D376 * 0.0271896496</f>
        <v>0</v>
      </c>
      <c r="G376" s="57">
        <f>D376 * 0.0000434284</f>
        <v>0</v>
      </c>
      <c r="H376" s="57">
        <f>D376 * 0.0003849703</f>
        <v>0</v>
      </c>
      <c r="I376" s="52" t="s">
        <v>1394</v>
      </c>
      <c r="P376" s="64" t="s">
        <v>1395</v>
      </c>
    </row>
    <row r="377" spans="1:16" x14ac:dyDescent="0.25">
      <c r="D377" s="65" t="s">
        <v>116</v>
      </c>
      <c r="E377" s="56">
        <f>SUM(E376:E376)</f>
        <v>0</v>
      </c>
      <c r="F377" s="57">
        <f>SUM(F376:F376)</f>
        <v>0</v>
      </c>
      <c r="G377" s="57">
        <f>SUM(G376:G376)</f>
        <v>0</v>
      </c>
      <c r="H377" s="57">
        <f>SUM(H376:H376)</f>
        <v>0</v>
      </c>
    </row>
  </sheetData>
  <mergeCells count="100">
    <mergeCell ref="A1:J1"/>
    <mergeCell ref="A2:J2"/>
    <mergeCell ref="A4:J4"/>
    <mergeCell ref="A5:J5"/>
    <mergeCell ref="A6:J6"/>
    <mergeCell ref="A11:I11"/>
    <mergeCell ref="A12:B12"/>
    <mergeCell ref="A13"/>
    <mergeCell ref="A14"/>
    <mergeCell ref="A18:H18"/>
    <mergeCell ref="A19:B19"/>
    <mergeCell ref="B20:H20"/>
    <mergeCell ref="B26:H26"/>
    <mergeCell ref="B32:H32"/>
    <mergeCell ref="B38:H38"/>
    <mergeCell ref="A20:A43"/>
    <mergeCell ref="A46:H46"/>
    <mergeCell ref="A47:B47"/>
    <mergeCell ref="B48:H48"/>
    <mergeCell ref="B54:H54"/>
    <mergeCell ref="B60:H60"/>
    <mergeCell ref="B96:H96"/>
    <mergeCell ref="A48:A101"/>
    <mergeCell ref="A104:H104"/>
    <mergeCell ref="A105:B105"/>
    <mergeCell ref="B106:H106"/>
    <mergeCell ref="B66:H66"/>
    <mergeCell ref="B72:H72"/>
    <mergeCell ref="B78:H78"/>
    <mergeCell ref="B84:H84"/>
    <mergeCell ref="B90:H90"/>
    <mergeCell ref="B142:H142"/>
    <mergeCell ref="B148:H148"/>
    <mergeCell ref="B154:H154"/>
    <mergeCell ref="A106:A159"/>
    <mergeCell ref="A162:H162"/>
    <mergeCell ref="B112:H112"/>
    <mergeCell ref="B118:H118"/>
    <mergeCell ref="B124:H124"/>
    <mergeCell ref="B130:H130"/>
    <mergeCell ref="B136:H136"/>
    <mergeCell ref="A163:B163"/>
    <mergeCell ref="B164:H164"/>
    <mergeCell ref="B170:H170"/>
    <mergeCell ref="B176:H176"/>
    <mergeCell ref="B182:H182"/>
    <mergeCell ref="A164:A217"/>
    <mergeCell ref="B188:H188"/>
    <mergeCell ref="B194:H194"/>
    <mergeCell ref="B200:H200"/>
    <mergeCell ref="B206:H206"/>
    <mergeCell ref="B212:H212"/>
    <mergeCell ref="A220:H220"/>
    <mergeCell ref="A221:B221"/>
    <mergeCell ref="A222:B222"/>
    <mergeCell ref="A223:B223"/>
    <mergeCell ref="A224:B224"/>
    <mergeCell ref="A225:B225"/>
    <mergeCell ref="A228:H228"/>
    <mergeCell ref="A229:B229"/>
    <mergeCell ref="B230:H230"/>
    <mergeCell ref="B240:H240"/>
    <mergeCell ref="A230:A249"/>
    <mergeCell ref="A252:H252"/>
    <mergeCell ref="A253:B253"/>
    <mergeCell ref="B254:H254"/>
    <mergeCell ref="B264:H264"/>
    <mergeCell ref="B274:H274"/>
    <mergeCell ref="A254:A279"/>
    <mergeCell ref="A282:H282"/>
    <mergeCell ref="A283:B283"/>
    <mergeCell ref="B284:H284"/>
    <mergeCell ref="B294:H294"/>
    <mergeCell ref="B304:H304"/>
    <mergeCell ref="A284:A309"/>
    <mergeCell ref="A326:H326"/>
    <mergeCell ref="A327:B327"/>
    <mergeCell ref="B328:H328"/>
    <mergeCell ref="A328:A331"/>
    <mergeCell ref="A312:H312"/>
    <mergeCell ref="A313:B313"/>
    <mergeCell ref="A314:A315"/>
    <mergeCell ref="A318:H318"/>
    <mergeCell ref="A319:B319"/>
    <mergeCell ref="A374:I374"/>
    <mergeCell ref="A375:B375"/>
    <mergeCell ref="A376"/>
    <mergeCell ref="A8:D9"/>
    <mergeCell ref="A343:A349"/>
    <mergeCell ref="A350:A356"/>
    <mergeCell ref="A357:A363"/>
    <mergeCell ref="A364:A366"/>
    <mergeCell ref="A367:A370"/>
    <mergeCell ref="A334:J334"/>
    <mergeCell ref="A335:B335"/>
    <mergeCell ref="A336:A338"/>
    <mergeCell ref="A341:J341"/>
    <mergeCell ref="A342:B342"/>
    <mergeCell ref="B320:H320"/>
    <mergeCell ref="A320:A323"/>
  </mergeCells>
  <pageMargins left="0.7" right="0.7" top="0.75" bottom="0.75" header="0.3" footer="0.3"/>
  <pageSetup paperSize="9" orientation="portrait" horizontalDpi="300" verticalDpi="300"/>
  <headerFooter>
    <oddHeader>&amp;C&amp;"Calibri"&amp;9&amp;K000000 [IN-CONFIDENCE]&amp;1#_x000D_</oddHeader>
    <oddFooter>&amp;C_x000D_&amp;1#&amp;"Calibri"&amp;9&amp;K000000 [IN-CONFIDENCE]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5FB0BEBF7DE54D9F252D8A06C053F7" ma:contentTypeVersion="45" ma:contentTypeDescription="Create a new document." ma:contentTypeScope="" ma:versionID="a9fc1f031f880e754432f1b8c8ae5595">
  <xsd:schema xmlns:xsd="http://www.w3.org/2001/XMLSchema" xmlns:xs="http://www.w3.org/2001/XMLSchema" xmlns:p="http://schemas.microsoft.com/office/2006/metadata/properties" xmlns:ns1="http://schemas.microsoft.com/sharepoint/v3" xmlns:ns2="58a6f171-52cb-4404-b47d-af1c8daf8fd1" xmlns:ns3="4a94300e-a927-4b92-9d3a-682523035cb6" xmlns:ns4="http://schemas.microsoft.com/sharepoint/v4" xmlns:ns5="0a5b0190-e301-4766-933d-448c7c363fce" targetNamespace="http://schemas.microsoft.com/office/2006/metadata/properties" ma:root="true" ma:fieldsID="9120c695b11737ea56ee1a9c34dff7b4" ns1:_="" ns2:_="" ns3:_="" ns4:_="" ns5:_="">
    <xsd:import namespace="http://schemas.microsoft.com/sharepoint/v3"/>
    <xsd:import namespace="58a6f171-52cb-4404-b47d-af1c8daf8fd1"/>
    <xsd:import namespace="4a94300e-a927-4b92-9d3a-682523035cb6"/>
    <xsd:import namespace="http://schemas.microsoft.com/sharepoint/v4"/>
    <xsd:import namespace="0a5b0190-e301-4766-933d-448c7c363fce"/>
    <xsd:element name="properties">
      <xsd:complexType>
        <xsd:sequence>
          <xsd:element name="documentManagement">
            <xsd:complexType>
              <xsd:all>
                <xsd:element ref="ns2:_dlc_DocId" minOccurs="0"/>
                <xsd:element ref="ns2:_dlc_DocIdUrl" minOccurs="0"/>
                <xsd:element ref="ns2:_dlc_DocIdPersistId" minOccurs="0"/>
                <xsd:element ref="ns3:Document_x0020_Type" minOccurs="0"/>
                <xsd:element ref="ns3:Sender" minOccurs="0"/>
                <xsd:element ref="ns3:Receiver" minOccurs="0"/>
                <xsd:element ref="ns3:Sender_x0020_Date" minOccurs="0"/>
                <xsd:element ref="ns3:Receiver_x0020_Date" minOccurs="0"/>
                <xsd:element ref="ns3:Carbon_x0020_Copy" minOccurs="0"/>
                <xsd:element ref="ns3:Email_x0020_Table" minOccurs="0"/>
                <xsd:element ref="ns3:MediaServiceMetadata" minOccurs="0"/>
                <xsd:element ref="ns3:MediaServiceFastMetadata" minOccurs="0"/>
                <xsd:element ref="ns3:MediaServiceAutoKeyPoints" minOccurs="0"/>
                <xsd:element ref="ns3:MediaServiceKeyPoints" minOccurs="0"/>
                <xsd:element ref="ns3:Library" minOccurs="0"/>
                <xsd:element ref="ns3:Legacy_x0020_DocID" minOccurs="0"/>
                <xsd:element ref="ns3:Legacy_x0020_Version" minOccurs="0"/>
                <xsd:element ref="ns3:Class" minOccurs="0"/>
                <xsd:element ref="ns3:Author0" minOccurs="0"/>
                <xsd:element ref="ns3:Status" minOccurs="0"/>
                <xsd:element ref="ns3:Year" minOccurs="0"/>
                <xsd:element ref="ns3:Other_x0020_Details" minOccurs="0"/>
                <xsd:element ref="ns3:MTS_x0020_Type" minOccurs="0"/>
                <xsd:element ref="ns3:MTS_x0020_ID" minOccurs="0"/>
                <xsd:element ref="ns3:Other_x0020_Details_2"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Other_x0020_Details_3" minOccurs="0"/>
                <xsd:element ref="ns3:To" minOccurs="0"/>
                <xsd:element ref="ns3:From" minOccurs="0"/>
                <xsd:element ref="ns3:Sent_x002f_Received" minOccurs="0"/>
                <xsd:element ref="ns1:_ip_UnifiedCompliancePolicyProperties" minOccurs="0"/>
                <xsd:element ref="ns1:_ip_UnifiedCompliancePolicyUIAction" minOccurs="0"/>
                <xsd:element ref="ns3:MediaLengthInSeconds" minOccurs="0"/>
                <xsd:element ref="ns4:IconOverlay" minOccurs="0"/>
                <xsd:element ref="ns5:SharedWithUsers" minOccurs="0"/>
                <xsd:element ref="ns5:SharedWithDetail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4" nillable="true" ma:displayName="Unified Compliance Policy Properties" ma:hidden="true" ma:internalName="_ip_UnifiedCompliancePolicyProperties">
      <xsd:simpleType>
        <xsd:restriction base="dms:Note"/>
      </xsd:simpleType>
    </xsd:element>
    <xsd:element name="_ip_UnifiedCompliancePolicyUIAction" ma:index="4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a6f171-52cb-4404-b47d-af1c8daf8fd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52" nillable="true" ma:displayName="Taxonomy Catch All Column" ma:hidden="true" ma:list="{0667bd51-75f8-4035-9f2e-4aaf1cd86fb2}" ma:internalName="TaxCatchAll" ma:showField="CatchAllData" ma:web="0a5b0190-e301-4766-933d-448c7c363fc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a94300e-a927-4b92-9d3a-682523035cb6" elementFormDefault="qualified">
    <xsd:import namespace="http://schemas.microsoft.com/office/2006/documentManagement/types"/>
    <xsd:import namespace="http://schemas.microsoft.com/office/infopath/2007/PartnerControls"/>
    <xsd:element name="Document_x0020_Type" ma:index="11" nillable="true" ma:displayName="Document Type" ma:default="" ma:description="" ma:internalName="Document_x0020_Type">
      <xsd:simpleType>
        <xsd:restriction base="dms:Note">
          <xsd:maxLength value="255"/>
        </xsd:restriction>
      </xsd:simpleType>
    </xsd:element>
    <xsd:element name="Sender" ma:index="12" nillable="true" ma:displayName="Sender" ma:description="" ma:internalName="Sender">
      <xsd:simpleType>
        <xsd:restriction base="dms:Text">
          <xsd:maxLength value="255"/>
        </xsd:restriction>
      </xsd:simpleType>
    </xsd:element>
    <xsd:element name="Receiver" ma:index="13" nillable="true" ma:displayName="Receiver" ma:description="" ma:internalName="Receiver">
      <xsd:simpleType>
        <xsd:restriction base="dms:Text">
          <xsd:maxLength value="255"/>
        </xsd:restriction>
      </xsd:simpleType>
    </xsd:element>
    <xsd:element name="Sender_x0020_Date" ma:index="14" nillable="true" ma:displayName="Sender Date" ma:default="" ma:description="" ma:format="DateTime" ma:internalName="Sender_x0020_Date">
      <xsd:simpleType>
        <xsd:restriction base="dms:DateTime"/>
      </xsd:simpleType>
    </xsd:element>
    <xsd:element name="Receiver_x0020_Date" ma:index="15" nillable="true" ma:displayName="Receiver Date" ma:default="" ma:description="" ma:format="DateTime" ma:internalName="Receiver_x0020_Date">
      <xsd:simpleType>
        <xsd:restriction base="dms:DateTime"/>
      </xsd:simpleType>
    </xsd:element>
    <xsd:element name="Carbon_x0020_Copy" ma:index="16" nillable="true" ma:displayName="Carbon Copy" ma:description="" ma:internalName="Carbon_x0020_Copy">
      <xsd:simpleType>
        <xsd:restriction base="dms:Text">
          <xsd:maxLength value="255"/>
        </xsd:restriction>
      </xsd:simpleType>
    </xsd:element>
    <xsd:element name="Email_x0020_Table" ma:index="18" nillable="true" ma:displayName="Email Table" ma:description="" ma:internalName="Email_x0020_Table">
      <xsd:simpleType>
        <xsd:restriction base="dms:Note">
          <xsd:maxLength value="255"/>
        </xsd:restriction>
      </xsd:simple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Library" ma:index="23" nillable="true" ma:displayName="Library" ma:default="" ma:description="" ma:internalName="Library">
      <xsd:simpleType>
        <xsd:restriction base="dms:Text">
          <xsd:maxLength value="255"/>
        </xsd:restriction>
      </xsd:simpleType>
    </xsd:element>
    <xsd:element name="Legacy_x0020_DocID" ma:index="24" nillable="true" ma:displayName="Legacy DocID" ma:decimals="-1" ma:default="" ma:description="" ma:internalName="Legacy_x0020_DocID">
      <xsd:simpleType>
        <xsd:restriction base="dms:Number"/>
      </xsd:simpleType>
    </xsd:element>
    <xsd:element name="Legacy_x0020_Version" ma:index="25" nillable="true" ma:displayName="Legacy Version" ma:default="" ma:description="" ma:internalName="Legacy_x0020_Version">
      <xsd:simpleType>
        <xsd:restriction base="dms:Text">
          <xsd:maxLength value="255"/>
        </xsd:restriction>
      </xsd:simpleType>
    </xsd:element>
    <xsd:element name="Class" ma:index="26" nillable="true" ma:displayName="Class" ma:default="" ma:description="" ma:internalName="Class">
      <xsd:simpleType>
        <xsd:restriction base="dms:Text">
          <xsd:maxLength value="255"/>
        </xsd:restriction>
      </xsd:simpleType>
    </xsd:element>
    <xsd:element name="Author0" ma:index="27" nillable="true" ma:displayName="Author" ma:default="" ma:description="" ma:internalName="Author0">
      <xsd:simpleType>
        <xsd:restriction base="dms:Text">
          <xsd:maxLength value="255"/>
        </xsd:restriction>
      </xsd:simpleType>
    </xsd:element>
    <xsd:element name="Status" ma:index="28" nillable="true" ma:displayName="Status" ma:default="" ma:description="" ma:internalName="Status">
      <xsd:simpleType>
        <xsd:restriction base="dms:Text">
          <xsd:maxLength value="255"/>
        </xsd:restriction>
      </xsd:simpleType>
    </xsd:element>
    <xsd:element name="Year" ma:index="29" nillable="true" ma:displayName="Year" ma:default="" ma:description="" ma:internalName="Year">
      <xsd:simpleType>
        <xsd:restriction base="dms:Text">
          <xsd:maxLength value="255"/>
        </xsd:restriction>
      </xsd:simpleType>
    </xsd:element>
    <xsd:element name="Other_x0020_Details" ma:index="30" nillable="true" ma:displayName="Other Details" ma:default="" ma:description="" ma:internalName="Other_x0020_Details">
      <xsd:simpleType>
        <xsd:restriction base="dms:Text">
          <xsd:maxLength value="255"/>
        </xsd:restriction>
      </xsd:simpleType>
    </xsd:element>
    <xsd:element name="MTS_x0020_Type" ma:index="31" nillable="true" ma:displayName="MTS Type" ma:default="" ma:description="" ma:internalName="MTS_x0020_Type">
      <xsd:simpleType>
        <xsd:restriction base="dms:Note">
          <xsd:maxLength value="255"/>
        </xsd:restriction>
      </xsd:simpleType>
    </xsd:element>
    <xsd:element name="MTS_x0020_ID" ma:index="32" nillable="true" ma:displayName="MTS ID" ma:default="" ma:description="" ma:internalName="MTS_x0020_ID">
      <xsd:simpleType>
        <xsd:restriction base="dms:Text">
          <xsd:maxLength value="255"/>
        </xsd:restriction>
      </xsd:simpleType>
    </xsd:element>
    <xsd:element name="Other_x0020_Details_2" ma:index="33" nillable="true" ma:displayName="Other Details_2" ma:description="" ma:internalName="Other_x0020_Details_2">
      <xsd:simpleType>
        <xsd:restriction base="dms:Text">
          <xsd:maxLength value="255"/>
        </xsd:restriction>
      </xsd:simpleType>
    </xsd:element>
    <xsd:element name="MediaServiceDateTaken" ma:index="34" nillable="true" ma:displayName="MediaServiceDateTaken" ma:hidden="true" ma:internalName="MediaServiceDateTaken"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Location" ma:index="36" nillable="true" ma:displayName="Location" ma:internalName="MediaServiceLocation" ma:readOnly="true">
      <xsd:simpleType>
        <xsd:restriction base="dms:Text"/>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EventHashCode" ma:index="38" nillable="true" ma:displayName="MediaServiceEventHashCode" ma:hidden="true" ma:internalName="MediaServiceEventHashCode" ma:readOnly="true">
      <xsd:simpleType>
        <xsd:restriction base="dms:Text"/>
      </xsd:simpleType>
    </xsd:element>
    <xsd:element name="MediaServiceOCR" ma:index="39" nillable="true" ma:displayName="Extracted Text" ma:internalName="MediaServiceOCR" ma:readOnly="true">
      <xsd:simpleType>
        <xsd:restriction base="dms:Note">
          <xsd:maxLength value="255"/>
        </xsd:restriction>
      </xsd:simpleType>
    </xsd:element>
    <xsd:element name="Other_x0020_Details_3" ma:index="40" nillable="true" ma:displayName="Other Details_3" ma:description="" ma:internalName="Other_x0020_Details_3">
      <xsd:simpleType>
        <xsd:restriction base="dms:Text">
          <xsd:maxLength value="255"/>
        </xsd:restriction>
      </xsd:simpleType>
    </xsd:element>
    <xsd:element name="To" ma:index="41" nillable="true" ma:displayName="To" ma:default="" ma:description="" ma:internalName="To">
      <xsd:simpleType>
        <xsd:restriction base="dms:Note">
          <xsd:maxLength value="255"/>
        </xsd:restriction>
      </xsd:simpleType>
    </xsd:element>
    <xsd:element name="From" ma:index="42" nillable="true" ma:displayName="From" ma:default="" ma:description="" ma:internalName="From">
      <xsd:simpleType>
        <xsd:restriction base="dms:Text">
          <xsd:maxLength value="255"/>
        </xsd:restriction>
      </xsd:simpleType>
    </xsd:element>
    <xsd:element name="Sent_x002f_Received" ma:index="43" nillable="true" ma:displayName="Sent/Received" ma:default="" ma:description="" ma:internalName="Sent_x002f_Received">
      <xsd:simpleType>
        <xsd:restriction base="dms:Text">
          <xsd:maxLength value="255"/>
        </xsd:restriction>
      </xsd:simpleType>
    </xsd:element>
    <xsd:element name="MediaLengthInSeconds" ma:index="46" nillable="true" ma:displayName="Length (seconds)" ma:internalName="MediaLengthInSeconds" ma:readOnly="true">
      <xsd:simpleType>
        <xsd:restriction base="dms:Unknown"/>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cebe92e3-83b2-4842-a6bd-e7cffea926d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7"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5b0190-e301-4766-933d-448c7c363fce" elementFormDefault="qualified">
    <xsd:import namespace="http://schemas.microsoft.com/office/2006/documentManagement/types"/>
    <xsd:import namespace="http://schemas.microsoft.com/office/infopath/2007/PartnerControls"/>
    <xsd:element name="SharedWithUsers" ma:index="4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7"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a94300e-a927-4b92-9d3a-682523035cb6">
      <Terms xmlns="http://schemas.microsoft.com/office/infopath/2007/PartnerControls"/>
    </lcf76f155ced4ddcb4097134ff3c332f>
    <TaxCatchAll xmlns="58a6f171-52cb-4404-b47d-af1c8daf8fd1" xsi:nil="true"/>
    <_dlc_DocId xmlns="58a6f171-52cb-4404-b47d-af1c8daf8fd1">ECM-1122293896-119579</_dlc_DocId>
    <_dlc_DocIdUrl xmlns="58a6f171-52cb-4404-b47d-af1c8daf8fd1">
      <Url>https://ministryforenvironment.sharepoint.com/sites/ECM-ER-Comms/_layouts/15/DocIdRedir.aspx?ID=ECM-1122293896-119579</Url>
      <Description>ECM-1122293896-119579</Description>
    </_dlc_DocIdUrl>
    <Legacy_x0020_DocID xmlns="4a94300e-a927-4b92-9d3a-682523035cb6" xsi:nil="true"/>
    <Year xmlns="4a94300e-a927-4b92-9d3a-682523035cb6" xsi:nil="true"/>
    <_ip_UnifiedCompliancePolicyUIAction xmlns="http://schemas.microsoft.com/sharepoint/v3" xsi:nil="true"/>
    <Legacy_x0020_Version xmlns="4a94300e-a927-4b92-9d3a-682523035cb6" xsi:nil="true"/>
    <Sender_x0020_Date xmlns="4a94300e-a927-4b92-9d3a-682523035cb6" xsi:nil="true"/>
    <Library xmlns="4a94300e-a927-4b92-9d3a-682523035cb6" xsi:nil="true"/>
    <Class xmlns="4a94300e-a927-4b92-9d3a-682523035cb6" xsi:nil="true"/>
    <From xmlns="4a94300e-a927-4b92-9d3a-682523035cb6" xsi:nil="true"/>
    <Sender xmlns="4a94300e-a927-4b92-9d3a-682523035cb6" xsi:nil="true"/>
    <IconOverlay xmlns="http://schemas.microsoft.com/sharepoint/v4" xsi:nil="true"/>
    <Other_x0020_Details xmlns="4a94300e-a927-4b92-9d3a-682523035cb6" xsi:nil="true"/>
    <_ip_UnifiedCompliancePolicyProperties xmlns="http://schemas.microsoft.com/sharepoint/v3" xsi:nil="true"/>
    <Carbon_x0020_Copy xmlns="4a94300e-a927-4b92-9d3a-682523035cb6" xsi:nil="true"/>
    <Author0 xmlns="4a94300e-a927-4b92-9d3a-682523035cb6" xsi:nil="true"/>
    <Email_x0020_Table xmlns="4a94300e-a927-4b92-9d3a-682523035cb6" xsi:nil="true"/>
    <MTS_x0020_ID xmlns="4a94300e-a927-4b92-9d3a-682523035cb6" xsi:nil="true"/>
    <MTS_x0020_Type xmlns="4a94300e-a927-4b92-9d3a-682523035cb6" xsi:nil="true"/>
    <Receiver xmlns="4a94300e-a927-4b92-9d3a-682523035cb6" xsi:nil="true"/>
    <Other_x0020_Details_2 xmlns="4a94300e-a927-4b92-9d3a-682523035cb6" xsi:nil="true"/>
    <Sent_x002f_Received xmlns="4a94300e-a927-4b92-9d3a-682523035cb6" xsi:nil="true"/>
    <Other_x0020_Details_3 xmlns="4a94300e-a927-4b92-9d3a-682523035cb6" xsi:nil="true"/>
    <To xmlns="4a94300e-a927-4b92-9d3a-682523035cb6" xsi:nil="true"/>
    <Receiver_x0020_Date xmlns="4a94300e-a927-4b92-9d3a-682523035cb6" xsi:nil="true"/>
    <Status xmlns="4a94300e-a927-4b92-9d3a-682523035cb6" xsi:nil="true"/>
    <Document_x0020_Type xmlns="4a94300e-a927-4b92-9d3a-682523035cb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7F17111-ED4D-4112-A354-0F44C43DBB8C}"/>
</file>

<file path=customXml/itemProps2.xml><?xml version="1.0" encoding="utf-8"?>
<ds:datastoreItem xmlns:ds="http://schemas.openxmlformats.org/officeDocument/2006/customXml" ds:itemID="{09220CB8-B47A-4FC8-A8CB-EEA5168C2ABC}">
  <ds:schemaRefs>
    <ds:schemaRef ds:uri="http://purl.org/dc/terms/"/>
    <ds:schemaRef ds:uri="http://schemas.microsoft.com/office/infopath/2007/PartnerControls"/>
    <ds:schemaRef ds:uri="http://purl.org/dc/dcmitype/"/>
    <ds:schemaRef ds:uri="f113153a-7657-44b0-a458-183308d92263"/>
    <ds:schemaRef ds:uri="231e2dfc-728d-4804-8082-151c258d157b"/>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b8e91d04-5364-45fd-a96d-482c4d1c21dd"/>
    <ds:schemaRef ds:uri="http://purl.org/dc/elements/1.1/"/>
  </ds:schemaRefs>
</ds:datastoreItem>
</file>

<file path=customXml/itemProps3.xml><?xml version="1.0" encoding="utf-8"?>
<ds:datastoreItem xmlns:ds="http://schemas.openxmlformats.org/officeDocument/2006/customXml" ds:itemID="{FD1EBA18-35AA-4372-9203-617E44DE7573}">
  <ds:schemaRefs>
    <ds:schemaRef ds:uri="http://schemas.microsoft.com/sharepoint/v3/contenttype/forms"/>
  </ds:schemaRefs>
</ds:datastoreItem>
</file>

<file path=customXml/itemProps4.xml><?xml version="1.0" encoding="utf-8"?>
<ds:datastoreItem xmlns:ds="http://schemas.openxmlformats.org/officeDocument/2006/customXml" ds:itemID="{CA197F51-B86B-47E4-B73F-2E002636774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Intro</vt:lpstr>
      <vt:lpstr>Summary Sheet</vt:lpstr>
      <vt:lpstr>Fuel</vt:lpstr>
      <vt:lpstr>T&amp;D losses</vt:lpstr>
      <vt:lpstr>Purchased energy</vt:lpstr>
      <vt:lpstr>Working from home</vt:lpstr>
      <vt:lpstr>Refrigerants &amp; other gases</vt:lpstr>
      <vt:lpstr>Travel</vt:lpstr>
      <vt:lpstr>Freight transport</vt:lpstr>
      <vt:lpstr>Wastewater treatment</vt:lpstr>
      <vt:lpstr>Waste</vt:lpstr>
      <vt:lpstr>Agriculture Forestry &amp; other</vt:lpstr>
      <vt:lpstr>Conversions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PriceR</dc:creator>
  <cp:keywords/>
  <dc:description/>
  <cp:lastModifiedBy>Lisette Du Plessis</cp:lastModifiedBy>
  <cp:revision/>
  <dcterms:created xsi:type="dcterms:W3CDTF">2023-06-26T11:18:24Z</dcterms:created>
  <dcterms:modified xsi:type="dcterms:W3CDTF">2024-07-29T22:13:01Z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0x010100EA5FB0BEBF7DE54D9F252D8A06C053F7</vt:lpwstr>
  </property>
  <property fmtid="{D5CDD505-2E9C-101B-9397-08002B2CF9AE}" pid="3" name="_dlc_DocIdItemGuid">
    <vt:lpwstr>f14cafcf-b478-43a7-a2e8-0551063501f4</vt:lpwstr>
  </property>
  <property fmtid="{D5CDD505-2E9C-101B-9397-08002B2CF9AE}" pid="4" name="TaxKeyword">
    <vt:lpwstr/>
  </property>
  <property fmtid="{D5CDD505-2E9C-101B-9397-08002B2CF9AE}" pid="5" name="areatoitu">
    <vt:lpwstr/>
  </property>
  <property fmtid="{D5CDD505-2E9C-101B-9397-08002B2CF9AE}" pid="6" name="MediaServiceImageTags">
    <vt:lpwstr/>
  </property>
  <property fmtid="{D5CDD505-2E9C-101B-9397-08002B2CF9AE}" pid="7" name="statustoituclient">
    <vt:lpwstr/>
  </property>
  <property fmtid="{D5CDD505-2E9C-101B-9397-08002B2CF9AE}" pid="8" name="regiontoitu">
    <vt:lpwstr/>
  </property>
  <property fmtid="{D5CDD505-2E9C-101B-9397-08002B2CF9AE}" pid="9" name="doctypetoituclient">
    <vt:lpwstr/>
  </property>
  <property fmtid="{D5CDD505-2E9C-101B-9397-08002B2CF9AE}" pid="10" name="filelocationtoitu">
    <vt:lpwstr/>
  </property>
  <property fmtid="{D5CDD505-2E9C-101B-9397-08002B2CF9AE}" pid="11" name="MSIP_Label_8cd314b8-d49f-4f88-9385-4c72a13ca99b_Enabled">
    <vt:lpwstr>true</vt:lpwstr>
  </property>
  <property fmtid="{D5CDD505-2E9C-101B-9397-08002B2CF9AE}" pid="12" name="MSIP_Label_8cd314b8-d49f-4f88-9385-4c72a13ca99b_SetDate">
    <vt:lpwstr>2024-05-19T23:55:46Z</vt:lpwstr>
  </property>
  <property fmtid="{D5CDD505-2E9C-101B-9397-08002B2CF9AE}" pid="13" name="MSIP_Label_8cd314b8-d49f-4f88-9385-4c72a13ca99b_Method">
    <vt:lpwstr>Privileged</vt:lpwstr>
  </property>
  <property fmtid="{D5CDD505-2E9C-101B-9397-08002B2CF9AE}" pid="14" name="MSIP_Label_8cd314b8-d49f-4f88-9385-4c72a13ca99b_Name">
    <vt:lpwstr>[IN-CONFIDENCE]</vt:lpwstr>
  </property>
  <property fmtid="{D5CDD505-2E9C-101B-9397-08002B2CF9AE}" pid="15" name="MSIP_Label_8cd314b8-d49f-4f88-9385-4c72a13ca99b_SiteId">
    <vt:lpwstr>761dd003-d4ff-4049-8a72-8549b20fcbb1</vt:lpwstr>
  </property>
  <property fmtid="{D5CDD505-2E9C-101B-9397-08002B2CF9AE}" pid="16" name="MSIP_Label_8cd314b8-d49f-4f88-9385-4c72a13ca99b_ActionId">
    <vt:lpwstr>cc2762df-b166-45ce-8cfa-691c1f00f5df</vt:lpwstr>
  </property>
  <property fmtid="{D5CDD505-2E9C-101B-9397-08002B2CF9AE}" pid="17" name="MSIP_Label_8cd314b8-d49f-4f88-9385-4c72a13ca99b_ContentBits">
    <vt:lpwstr>3</vt:lpwstr>
  </property>
</Properties>
</file>